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473630A7-36E2-40C8-9C0D-DB203B71EB70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ANALISIS VERT 2016" sheetId="34" r:id="rId1"/>
    <sheet name="ANALISIS VERT 2017" sheetId="35" r:id="rId2"/>
    <sheet name="ANALISIS HOR" sheetId="12" r:id="rId3"/>
    <sheet name="ANALISIS VER" sheetId="18" r:id="rId4"/>
    <sheet name="ANALISIS HORIZ" sheetId="37" r:id="rId5"/>
    <sheet name="REG CONTABLE" sheetId="41" r:id="rId6"/>
    <sheet name="KARDEX" sheetId="42" r:id="rId7"/>
    <sheet name="CI-INVENTARIO" sheetId="27" r:id="rId8"/>
    <sheet name="CI GENERAL" sheetId="19" r:id="rId9"/>
    <sheet name="RESULTADOS DE CI" sheetId="28" r:id="rId10"/>
    <sheet name="ESTRATOS" sheetId="38" r:id="rId11"/>
    <sheet name="ABC" sheetId="44" r:id="rId12"/>
    <sheet name="MODELO CEP" sheetId="40" r:id="rId13"/>
  </sheets>
  <definedNames>
    <definedName name="_xlnm._FilterDatabase" localSheetId="11" hidden="1">ABC!$H$2:$H$33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44" l="1"/>
  <c r="F3" i="44" s="1"/>
  <c r="P3" i="44"/>
  <c r="D3" i="44" s="1"/>
  <c r="Q3" i="44" s="1"/>
  <c r="D4" i="44"/>
  <c r="G4" i="44" s="1"/>
  <c r="E4" i="44"/>
  <c r="F4" i="44"/>
  <c r="P4" i="44"/>
  <c r="Q4" i="44"/>
  <c r="E5" i="44"/>
  <c r="P5" i="44"/>
  <c r="D5" i="44" s="1"/>
  <c r="G5" i="44" s="1"/>
  <c r="E6" i="44"/>
  <c r="P6" i="44"/>
  <c r="D6" i="44" s="1"/>
  <c r="Q6" i="44" s="1"/>
  <c r="D7" i="44"/>
  <c r="E7" i="44"/>
  <c r="P7" i="44"/>
  <c r="D8" i="44"/>
  <c r="G8" i="44" s="1"/>
  <c r="E8" i="44"/>
  <c r="E9" i="44"/>
  <c r="P9" i="44"/>
  <c r="D9" i="44" s="1"/>
  <c r="G9" i="44" s="1"/>
  <c r="E10" i="44"/>
  <c r="P10" i="44"/>
  <c r="D10" i="44" s="1"/>
  <c r="G10" i="44" s="1"/>
  <c r="E11" i="44"/>
  <c r="P11" i="44"/>
  <c r="D11" i="44" s="1"/>
  <c r="Q11" i="44" s="1"/>
  <c r="D12" i="44"/>
  <c r="G12" i="44" s="1"/>
  <c r="E12" i="44"/>
  <c r="P12" i="44"/>
  <c r="Q12" i="44"/>
  <c r="E13" i="44"/>
  <c r="P13" i="44"/>
  <c r="D13" i="44" s="1"/>
  <c r="Q13" i="44" s="1"/>
  <c r="D14" i="44"/>
  <c r="G14" i="44" s="1"/>
  <c r="E14" i="44"/>
  <c r="P14" i="44"/>
  <c r="Q14" i="44"/>
  <c r="E15" i="44"/>
  <c r="P15" i="44"/>
  <c r="D15" i="44" s="1"/>
  <c r="G15" i="44" s="1"/>
  <c r="E16" i="44"/>
  <c r="P16" i="44"/>
  <c r="D16" i="44" s="1"/>
  <c r="G16" i="44" s="1"/>
  <c r="E17" i="44"/>
  <c r="P17" i="44"/>
  <c r="D17" i="44" s="1"/>
  <c r="G17" i="44" s="1"/>
  <c r="E18" i="44"/>
  <c r="P18" i="44"/>
  <c r="D18" i="44" s="1"/>
  <c r="G18" i="44" s="1"/>
  <c r="E19" i="44"/>
  <c r="P19" i="44"/>
  <c r="D19" i="44" s="1"/>
  <c r="Q19" i="44" s="1"/>
  <c r="D20" i="44"/>
  <c r="E20" i="44"/>
  <c r="D21" i="44"/>
  <c r="G21" i="44" s="1"/>
  <c r="E21" i="44"/>
  <c r="P21" i="44"/>
  <c r="Q21" i="44"/>
  <c r="E22" i="44"/>
  <c r="P22" i="44"/>
  <c r="D22" i="44" s="1"/>
  <c r="Q22" i="44" s="1"/>
  <c r="D23" i="44"/>
  <c r="G23" i="44" s="1"/>
  <c r="E23" i="44"/>
  <c r="P23" i="44"/>
  <c r="Q23" i="44"/>
  <c r="E24" i="44"/>
  <c r="P24" i="44"/>
  <c r="D24" i="44" s="1"/>
  <c r="Q24" i="44" s="1"/>
  <c r="E25" i="44"/>
  <c r="P25" i="44"/>
  <c r="D25" i="44" s="1"/>
  <c r="D26" i="44"/>
  <c r="G26" i="44" s="1"/>
  <c r="E26" i="44"/>
  <c r="D27" i="44"/>
  <c r="G27" i="44" s="1"/>
  <c r="E27" i="44"/>
  <c r="D28" i="44"/>
  <c r="G28" i="44" s="1"/>
  <c r="E28" i="44"/>
  <c r="P28" i="44"/>
  <c r="Q28" i="44"/>
  <c r="D29" i="44"/>
  <c r="E29" i="44"/>
  <c r="G29" i="44"/>
  <c r="Q29" i="44"/>
  <c r="E30" i="44"/>
  <c r="P30" i="44"/>
  <c r="D30" i="44" s="1"/>
  <c r="D31" i="44"/>
  <c r="G31" i="44" s="1"/>
  <c r="E31" i="44"/>
  <c r="P31" i="44"/>
  <c r="Q31" i="44"/>
  <c r="E32" i="44"/>
  <c r="P32" i="44"/>
  <c r="D32" i="44" s="1"/>
  <c r="Q32" i="44" l="1"/>
  <c r="G32" i="44"/>
  <c r="Q30" i="44"/>
  <c r="G30" i="44"/>
  <c r="G25" i="44"/>
  <c r="Q25" i="44"/>
  <c r="G24" i="44"/>
  <c r="G20" i="44"/>
  <c r="Q20" i="44"/>
  <c r="G13" i="44"/>
  <c r="G7" i="44"/>
  <c r="Q7" i="44"/>
  <c r="G3" i="44"/>
  <c r="Q27" i="44"/>
  <c r="Q26" i="44"/>
  <c r="G22" i="44"/>
  <c r="G19" i="44"/>
  <c r="Q18" i="44"/>
  <c r="Q17" i="44"/>
  <c r="Q16" i="44"/>
  <c r="Q15" i="44"/>
  <c r="G11" i="44"/>
  <c r="Q10" i="44"/>
  <c r="Q9" i="44"/>
  <c r="Q8" i="44"/>
  <c r="G6" i="44"/>
  <c r="Q5" i="44"/>
  <c r="F5" i="44"/>
  <c r="F6" i="44" s="1"/>
  <c r="F7" i="44" s="1"/>
  <c r="F8" i="44" s="1"/>
  <c r="F9" i="44" s="1"/>
  <c r="F10" i="44" s="1"/>
  <c r="F11" i="44" s="1"/>
  <c r="F12" i="44" s="1"/>
  <c r="F13" i="44" s="1"/>
  <c r="F14" i="44" s="1"/>
  <c r="F15" i="44" s="1"/>
  <c r="F16" i="44" s="1"/>
  <c r="F17" i="44" s="1"/>
  <c r="F18" i="44" s="1"/>
  <c r="F19" i="44" s="1"/>
  <c r="F20" i="44" s="1"/>
  <c r="F21" i="44" s="1"/>
  <c r="F22" i="44" s="1"/>
  <c r="F23" i="44" s="1"/>
  <c r="F24" i="44" s="1"/>
  <c r="F25" i="44" s="1"/>
  <c r="F26" i="44" s="1"/>
  <c r="F27" i="44" s="1"/>
  <c r="F28" i="44" s="1"/>
  <c r="F29" i="44" s="1"/>
  <c r="F30" i="44" s="1"/>
  <c r="F31" i="44" s="1"/>
  <c r="F32" i="44" s="1"/>
  <c r="H3" i="44" l="1"/>
  <c r="H4" i="44" s="1"/>
  <c r="H5" i="44" s="1"/>
  <c r="H6" i="44" s="1"/>
  <c r="H7" i="44" s="1"/>
  <c r="H8" i="44" s="1"/>
  <c r="H9" i="44" s="1"/>
  <c r="H10" i="44" s="1"/>
  <c r="H11" i="44" s="1"/>
  <c r="H12" i="44" s="1"/>
  <c r="H13" i="44" s="1"/>
  <c r="H14" i="44" s="1"/>
  <c r="H15" i="44" s="1"/>
  <c r="H16" i="44" s="1"/>
  <c r="H17" i="44" s="1"/>
  <c r="H18" i="44" s="1"/>
  <c r="H19" i="44" s="1"/>
  <c r="H20" i="44" s="1"/>
  <c r="H21" i="44" s="1"/>
  <c r="H22" i="44" s="1"/>
  <c r="H23" i="44" s="1"/>
  <c r="H24" i="44" s="1"/>
  <c r="H25" i="44" s="1"/>
  <c r="H26" i="44" s="1"/>
  <c r="H27" i="44" s="1"/>
  <c r="H28" i="44" s="1"/>
  <c r="H29" i="44" s="1"/>
  <c r="H30" i="44" s="1"/>
  <c r="H31" i="44" s="1"/>
  <c r="H32" i="44" s="1"/>
  <c r="G33" i="44"/>
  <c r="I25" i="44"/>
  <c r="N7" i="44" l="1"/>
  <c r="I29" i="44"/>
  <c r="I18" i="44"/>
  <c r="I16" i="44"/>
  <c r="I10" i="44"/>
  <c r="I31" i="44"/>
  <c r="I27" i="44"/>
  <c r="I23" i="44"/>
  <c r="I12" i="44"/>
  <c r="I21" i="44"/>
  <c r="I14" i="44"/>
  <c r="I17" i="44"/>
  <c r="I15" i="44"/>
  <c r="I9" i="44"/>
  <c r="I28" i="44"/>
  <c r="I26" i="44"/>
  <c r="I8" i="44"/>
  <c r="I5" i="44"/>
  <c r="I4" i="44"/>
  <c r="I30" i="44"/>
  <c r="I20" i="44"/>
  <c r="I22" i="44"/>
  <c r="I11" i="44"/>
  <c r="I7" i="44"/>
  <c r="I3" i="44"/>
  <c r="I32" i="44"/>
  <c r="I24" i="44"/>
  <c r="I13" i="44"/>
  <c r="I19" i="44"/>
  <c r="I6" i="44"/>
  <c r="J3" i="44" l="1"/>
  <c r="J4" i="44" s="1"/>
  <c r="J5" i="44" s="1"/>
  <c r="J6" i="44" s="1"/>
  <c r="J7" i="44" s="1"/>
  <c r="J8" i="44" s="1"/>
  <c r="J9" i="44" s="1"/>
  <c r="J10" i="44" s="1"/>
  <c r="J11" i="44" s="1"/>
  <c r="J12" i="44" s="1"/>
  <c r="J13" i="44" s="1"/>
  <c r="J14" i="44" s="1"/>
  <c r="J15" i="44" s="1"/>
  <c r="J16" i="44" s="1"/>
  <c r="J17" i="44" s="1"/>
  <c r="J18" i="44" s="1"/>
  <c r="J19" i="44" s="1"/>
  <c r="J20" i="44" s="1"/>
  <c r="J21" i="44" s="1"/>
  <c r="J22" i="44" s="1"/>
  <c r="J23" i="44" s="1"/>
  <c r="J24" i="44" s="1"/>
  <c r="J25" i="44" s="1"/>
  <c r="J26" i="44" s="1"/>
  <c r="J27" i="44" s="1"/>
  <c r="J28" i="44" s="1"/>
  <c r="J29" i="44" s="1"/>
  <c r="J30" i="44" s="1"/>
  <c r="J31" i="44" s="1"/>
  <c r="J32" i="44" s="1"/>
  <c r="I33" i="44"/>
  <c r="N8" i="44"/>
  <c r="N9" i="44"/>
  <c r="N10" i="44"/>
  <c r="N16" i="44"/>
  <c r="N17" i="44"/>
  <c r="N18" i="44"/>
  <c r="N15" i="44" l="1"/>
  <c r="N5" i="44"/>
  <c r="E7" i="42" l="1"/>
  <c r="F7" i="42"/>
  <c r="J7" i="42"/>
  <c r="K7" i="42"/>
  <c r="L7" i="42" s="1"/>
  <c r="L8" i="42" s="1"/>
  <c r="E8" i="42"/>
  <c r="F8" i="42" s="1"/>
  <c r="J8" i="42"/>
  <c r="J9" i="42" s="1"/>
  <c r="J10" i="42" s="1"/>
  <c r="J11" i="42" s="1"/>
  <c r="J12" i="42" s="1"/>
  <c r="F10" i="42"/>
  <c r="E19" i="42"/>
  <c r="F19" i="42" s="1"/>
  <c r="J19" i="42"/>
  <c r="J20" i="42" s="1"/>
  <c r="F22" i="42"/>
  <c r="J23" i="42"/>
  <c r="K23" i="42"/>
  <c r="L23" i="42" s="1"/>
  <c r="L25" i="42" s="1"/>
  <c r="J25" i="42"/>
  <c r="K25" i="42"/>
  <c r="J27" i="42"/>
  <c r="K27" i="42"/>
  <c r="L27" i="42" s="1"/>
  <c r="D8" i="41"/>
  <c r="E7" i="41" s="1"/>
  <c r="G8" i="41"/>
  <c r="H7" i="41" s="1"/>
  <c r="D20" i="41"/>
  <c r="F19" i="41" s="1"/>
  <c r="G20" i="41"/>
  <c r="I19" i="41" s="1"/>
  <c r="D29" i="41"/>
  <c r="E28" i="41" s="1"/>
  <c r="G29" i="41"/>
  <c r="H28" i="41" s="1"/>
  <c r="D43" i="41"/>
  <c r="F42" i="41" s="1"/>
  <c r="G43" i="41"/>
  <c r="I42" i="41" s="1"/>
  <c r="D57" i="41"/>
  <c r="E56" i="41" s="1"/>
  <c r="G57" i="41"/>
  <c r="H56" i="41" s="1"/>
  <c r="D73" i="41"/>
  <c r="F72" i="41" s="1"/>
  <c r="G73" i="41"/>
  <c r="I72" i="41" s="1"/>
  <c r="F88" i="41"/>
  <c r="K8" i="42" l="1"/>
  <c r="H9" i="42" s="1"/>
  <c r="I9" i="42" s="1"/>
  <c r="D49" i="41" s="1"/>
  <c r="F48" i="41" s="1"/>
  <c r="E47" i="41" s="1"/>
  <c r="L9" i="42"/>
  <c r="J21" i="42"/>
  <c r="E20" i="42"/>
  <c r="F20" i="42" s="1"/>
  <c r="K19" i="42"/>
  <c r="I74" i="41"/>
  <c r="H71" i="41" s="1"/>
  <c r="H58" i="41"/>
  <c r="I59" i="41"/>
  <c r="H41" i="41"/>
  <c r="I44" i="41"/>
  <c r="H40" i="41" s="1"/>
  <c r="H30" i="41"/>
  <c r="I31" i="41" s="1"/>
  <c r="I32" i="41"/>
  <c r="I21" i="41"/>
  <c r="H18" i="41" s="1"/>
  <c r="H9" i="41"/>
  <c r="I10" i="41"/>
  <c r="I11" i="41"/>
  <c r="F74" i="41"/>
  <c r="E71" i="41" s="1"/>
  <c r="E58" i="41"/>
  <c r="F59" i="41"/>
  <c r="E41" i="41"/>
  <c r="F44" i="41"/>
  <c r="E40" i="41" s="1"/>
  <c r="E30" i="41"/>
  <c r="F31" i="41" s="1"/>
  <c r="F32" i="41"/>
  <c r="F21" i="41"/>
  <c r="E18" i="41" s="1"/>
  <c r="E9" i="41"/>
  <c r="F10" i="41"/>
  <c r="F11" i="41"/>
  <c r="F90" i="41"/>
  <c r="E87" i="41" s="1"/>
  <c r="L19" i="42" l="1"/>
  <c r="K20" i="42"/>
  <c r="J22" i="42"/>
  <c r="L10" i="42"/>
  <c r="K9" i="42"/>
  <c r="E39" i="41"/>
  <c r="H39" i="41"/>
  <c r="J24" i="42" l="1"/>
  <c r="H21" i="42"/>
  <c r="L20" i="42"/>
  <c r="K10" i="42"/>
  <c r="H11" i="42" s="1"/>
  <c r="J26" i="42" l="1"/>
  <c r="I11" i="42"/>
  <c r="H12" i="42"/>
  <c r="I12" i="42" s="1"/>
  <c r="D63" i="41" s="1"/>
  <c r="E62" i="41" s="1"/>
  <c r="F64" i="41" s="1"/>
  <c r="I21" i="42"/>
  <c r="G49" i="41" s="1"/>
  <c r="I48" i="41" s="1"/>
  <c r="H47" i="41" s="1"/>
  <c r="K21" i="42"/>
  <c r="K22" i="42" l="1"/>
  <c r="L21" i="42"/>
  <c r="D79" i="41"/>
  <c r="F78" i="41" s="1"/>
  <c r="E77" i="41" s="1"/>
  <c r="L11" i="42"/>
  <c r="K11" i="42" l="1"/>
  <c r="L12" i="42"/>
  <c r="K12" i="42" s="1"/>
  <c r="H24" i="42"/>
  <c r="L22" i="42"/>
  <c r="I24" i="42" l="1"/>
  <c r="G79" i="41" s="1"/>
  <c r="I78" i="41" s="1"/>
  <c r="H77" i="41" s="1"/>
  <c r="K24" i="42"/>
  <c r="L24" i="42" s="1"/>
  <c r="H26" i="42"/>
  <c r="I26" i="42" l="1"/>
  <c r="G63" i="41" s="1"/>
  <c r="H62" i="41" s="1"/>
  <c r="I64" i="41" s="1"/>
  <c r="K26" i="42"/>
  <c r="L26" i="42" s="1"/>
  <c r="F4" i="40" l="1"/>
  <c r="G4" i="40"/>
  <c r="M13" i="40" s="1"/>
  <c r="F5" i="40"/>
  <c r="G5" i="40"/>
  <c r="P14" i="40" s="1"/>
  <c r="F6" i="40"/>
  <c r="G6" i="40"/>
  <c r="M15" i="40" s="1"/>
  <c r="F7" i="40"/>
  <c r="G7" i="40"/>
  <c r="P16" i="40" s="1"/>
  <c r="F8" i="40"/>
  <c r="G8" i="40"/>
  <c r="M17" i="40" s="1"/>
  <c r="F9" i="40"/>
  <c r="G9" i="40"/>
  <c r="P18" i="40" s="1"/>
  <c r="M14" i="40"/>
  <c r="N14" i="40" s="1"/>
  <c r="O14" i="40"/>
  <c r="Q14" i="40"/>
  <c r="R14" i="40" s="1"/>
  <c r="S14" i="40" s="1"/>
  <c r="M16" i="40"/>
  <c r="N16" i="40" s="1"/>
  <c r="O16" i="40"/>
  <c r="Q16" i="40"/>
  <c r="R16" i="40" s="1"/>
  <c r="S16" i="40" s="1"/>
  <c r="M18" i="40"/>
  <c r="N18" i="40" s="1"/>
  <c r="O18" i="40"/>
  <c r="Q18" i="40"/>
  <c r="R18" i="40" s="1"/>
  <c r="S18" i="40" s="1"/>
  <c r="Q17" i="40" l="1"/>
  <c r="R17" i="40" s="1"/>
  <c r="S17" i="40" s="1"/>
  <c r="N17" i="40"/>
  <c r="P17" i="40"/>
  <c r="Q15" i="40"/>
  <c r="R15" i="40" s="1"/>
  <c r="S15" i="40" s="1"/>
  <c r="N15" i="40"/>
  <c r="P15" i="40"/>
  <c r="Q13" i="40"/>
  <c r="R13" i="40" s="1"/>
  <c r="S13" i="40" s="1"/>
  <c r="N13" i="40"/>
  <c r="P13" i="40"/>
  <c r="O17" i="40"/>
  <c r="O15" i="40"/>
  <c r="O13" i="40"/>
  <c r="E4" i="38"/>
  <c r="F5" i="38"/>
  <c r="E5" i="38" s="1"/>
  <c r="E6" i="38"/>
  <c r="E7" i="38"/>
  <c r="F7" i="38"/>
  <c r="E8" i="38"/>
  <c r="L8" i="38"/>
  <c r="E9" i="38"/>
  <c r="L9" i="38"/>
  <c r="E10" i="38"/>
  <c r="L10" i="38"/>
  <c r="E11" i="38"/>
  <c r="L11" i="38"/>
  <c r="E12" i="38"/>
  <c r="L12" i="38"/>
  <c r="E13" i="38"/>
  <c r="F13" i="38"/>
  <c r="L13" i="38"/>
  <c r="E14" i="38"/>
  <c r="E15" i="38"/>
  <c r="E16" i="38"/>
  <c r="E17" i="38"/>
  <c r="E18" i="38"/>
  <c r="E19" i="38"/>
  <c r="E20" i="38"/>
  <c r="E21" i="38"/>
  <c r="F22" i="38"/>
  <c r="E22" i="38" s="1"/>
  <c r="E23" i="38"/>
  <c r="E24" i="38"/>
  <c r="F24" i="38"/>
  <c r="E25" i="38"/>
  <c r="F25" i="38"/>
  <c r="E26" i="38"/>
  <c r="F26" i="38"/>
  <c r="E27" i="38"/>
  <c r="F28" i="38"/>
  <c r="E28" i="38" s="1"/>
  <c r="F29" i="38"/>
  <c r="E29" i="38" s="1"/>
  <c r="F30" i="38"/>
  <c r="E30" i="38" s="1"/>
  <c r="F31" i="38"/>
  <c r="E31" i="38" s="1"/>
  <c r="F32" i="38"/>
  <c r="E32" i="38" s="1"/>
  <c r="F33" i="38"/>
  <c r="E33" i="38" s="1"/>
  <c r="F34" i="38"/>
  <c r="E34" i="38" s="1"/>
  <c r="F35" i="38"/>
  <c r="E35" i="38" s="1"/>
  <c r="F36" i="38"/>
  <c r="E36" i="38" s="1"/>
  <c r="F37" i="38"/>
  <c r="E37" i="38" s="1"/>
  <c r="F38" i="38"/>
  <c r="E38" i="38" s="1"/>
  <c r="F39" i="38"/>
  <c r="E39" i="38" s="1"/>
  <c r="F40" i="38"/>
  <c r="E40" i="38" s="1"/>
  <c r="F41" i="38"/>
  <c r="E41" i="38" s="1"/>
  <c r="F42" i="38"/>
  <c r="E42" i="38" s="1"/>
  <c r="F43" i="38"/>
  <c r="E43" i="38" s="1"/>
  <c r="F44" i="38"/>
  <c r="E44" i="38" s="1"/>
  <c r="F45" i="38"/>
  <c r="E45" i="38" s="1"/>
  <c r="F46" i="38"/>
  <c r="E46" i="38" s="1"/>
  <c r="F47" i="38"/>
  <c r="E47" i="38" s="1"/>
  <c r="F48" i="38"/>
  <c r="E48" i="38" s="1"/>
  <c r="F49" i="38"/>
  <c r="E49" i="38" s="1"/>
  <c r="F50" i="38"/>
  <c r="E50" i="38" s="1"/>
  <c r="F51" i="38"/>
  <c r="E51" i="38" s="1"/>
  <c r="F52" i="38"/>
  <c r="E52" i="38" s="1"/>
  <c r="F53" i="38"/>
  <c r="E53" i="38" s="1"/>
  <c r="F54" i="38"/>
  <c r="E54" i="38" s="1"/>
  <c r="F55" i="38"/>
  <c r="E55" i="38" s="1"/>
  <c r="F56" i="38"/>
  <c r="E56" i="38" s="1"/>
  <c r="F57" i="38"/>
  <c r="E57" i="38" s="1"/>
  <c r="F58" i="38"/>
  <c r="E58" i="38" s="1"/>
  <c r="F59" i="38"/>
  <c r="E59" i="38" s="1"/>
  <c r="F60" i="38"/>
  <c r="E60" i="38" s="1"/>
  <c r="F61" i="38"/>
  <c r="E61" i="38" s="1"/>
  <c r="F62" i="38"/>
  <c r="E62" i="38" s="1"/>
  <c r="F63" i="38"/>
  <c r="E63" i="38" s="1"/>
  <c r="F64" i="38"/>
  <c r="E64" i="38" s="1"/>
  <c r="F65" i="38"/>
  <c r="E65" i="38" s="1"/>
  <c r="F66" i="38"/>
  <c r="E66" i="38" s="1"/>
  <c r="F67" i="38"/>
  <c r="E67" i="38" s="1"/>
  <c r="F68" i="38"/>
  <c r="E68" i="38" s="1"/>
  <c r="F69" i="38"/>
  <c r="E69" i="38" s="1"/>
  <c r="F70" i="38"/>
  <c r="E70" i="38" s="1"/>
  <c r="F71" i="38"/>
  <c r="E71" i="38" s="1"/>
  <c r="F72" i="38"/>
  <c r="E72" i="38" s="1"/>
  <c r="F73" i="38"/>
  <c r="E73" i="38" s="1"/>
  <c r="F74" i="38"/>
  <c r="E74" i="38" s="1"/>
  <c r="F75" i="38"/>
  <c r="E75" i="38" s="1"/>
  <c r="F76" i="38"/>
  <c r="E76" i="38" s="1"/>
  <c r="F77" i="38"/>
  <c r="E77" i="38" s="1"/>
  <c r="F78" i="38"/>
  <c r="E78" i="38" s="1"/>
  <c r="F79" i="38"/>
  <c r="E79" i="38" s="1"/>
  <c r="F80" i="38"/>
  <c r="E80" i="38" s="1"/>
  <c r="F81" i="38"/>
  <c r="E81" i="38" s="1"/>
  <c r="F82" i="38"/>
  <c r="E82" i="38" s="1"/>
  <c r="F83" i="38"/>
  <c r="E83" i="38" s="1"/>
  <c r="F84" i="38"/>
  <c r="E84" i="38" s="1"/>
  <c r="F85" i="38"/>
  <c r="E85" i="38" s="1"/>
  <c r="F86" i="38"/>
  <c r="E86" i="38" s="1"/>
  <c r="F87" i="38"/>
  <c r="E87" i="38" s="1"/>
  <c r="F88" i="38"/>
  <c r="E88" i="38" s="1"/>
  <c r="F89" i="38"/>
  <c r="E89" i="38" s="1"/>
  <c r="F90" i="38"/>
  <c r="E90" i="38" s="1"/>
  <c r="F91" i="38"/>
  <c r="E91" i="38" s="1"/>
  <c r="F92" i="38"/>
  <c r="E92" i="38" s="1"/>
  <c r="F93" i="38"/>
  <c r="E93" i="38" s="1"/>
  <c r="F94" i="38"/>
  <c r="E94" i="38" s="1"/>
  <c r="F95" i="38"/>
  <c r="E95" i="38" s="1"/>
  <c r="F96" i="38"/>
  <c r="E96" i="38" s="1"/>
  <c r="F97" i="38"/>
  <c r="E97" i="38" s="1"/>
  <c r="F98" i="38"/>
  <c r="E98" i="38" s="1"/>
  <c r="F99" i="38"/>
  <c r="E99" i="38" s="1"/>
  <c r="F100" i="38"/>
  <c r="E100" i="38" s="1"/>
  <c r="F101" i="38"/>
  <c r="E101" i="38" s="1"/>
  <c r="F102" i="38"/>
  <c r="E102" i="38" s="1"/>
  <c r="F103" i="38"/>
  <c r="E103" i="38" s="1"/>
  <c r="F104" i="38"/>
  <c r="E104" i="38" s="1"/>
  <c r="F105" i="38"/>
  <c r="E105" i="38" s="1"/>
  <c r="F106" i="38"/>
  <c r="E106" i="38" s="1"/>
  <c r="F107" i="38"/>
  <c r="E107" i="38" s="1"/>
  <c r="F108" i="38"/>
  <c r="E108" i="38" s="1"/>
  <c r="E109" i="38"/>
  <c r="E110" i="38"/>
  <c r="F110" i="38"/>
  <c r="E111" i="38"/>
  <c r="F111" i="38"/>
  <c r="E112" i="38"/>
  <c r="F112" i="38"/>
  <c r="E113" i="38"/>
  <c r="F113" i="38"/>
  <c r="E114" i="38"/>
  <c r="F114" i="38"/>
  <c r="E115" i="38"/>
  <c r="F115" i="38"/>
  <c r="E116" i="38"/>
  <c r="F116" i="38"/>
  <c r="E117" i="38"/>
  <c r="F117" i="38"/>
  <c r="E118" i="38"/>
  <c r="F118" i="38"/>
  <c r="E119" i="38"/>
  <c r="F119" i="38"/>
  <c r="E120" i="38"/>
  <c r="F120" i="38"/>
  <c r="E121" i="38"/>
  <c r="F121" i="38"/>
  <c r="E122" i="38"/>
  <c r="F122" i="38"/>
  <c r="E123" i="38"/>
  <c r="F123" i="38"/>
  <c r="E124" i="38"/>
  <c r="F124" i="38"/>
  <c r="E125" i="38"/>
  <c r="F125" i="38"/>
  <c r="E5" i="35"/>
  <c r="E4" i="35" s="1"/>
  <c r="G6" i="35"/>
  <c r="G7" i="35"/>
  <c r="G8" i="35"/>
  <c r="G9" i="35"/>
  <c r="G10" i="35"/>
  <c r="E11" i="35"/>
  <c r="G12" i="35"/>
  <c r="G13" i="35"/>
  <c r="G14" i="35"/>
  <c r="G15" i="35"/>
  <c r="G16" i="35"/>
  <c r="G17" i="35"/>
  <c r="E19" i="35"/>
  <c r="E18" i="35" s="1"/>
  <c r="G20" i="35"/>
  <c r="G21" i="35"/>
  <c r="G22" i="35"/>
  <c r="G23" i="35"/>
  <c r="E24" i="35"/>
  <c r="G25" i="35"/>
  <c r="E5" i="34"/>
  <c r="E4" i="34" s="1"/>
  <c r="H5" i="34" s="1"/>
  <c r="G6" i="34"/>
  <c r="G7" i="34"/>
  <c r="G8" i="34"/>
  <c r="G9" i="34"/>
  <c r="G10" i="34"/>
  <c r="E11" i="34"/>
  <c r="H11" i="34" s="1"/>
  <c r="G12" i="34"/>
  <c r="G14" i="34"/>
  <c r="G16" i="34"/>
  <c r="E19" i="34"/>
  <c r="G20" i="34"/>
  <c r="G22" i="34"/>
  <c r="H24" i="34"/>
  <c r="H19" i="35" l="1"/>
  <c r="H24" i="35"/>
  <c r="E28" i="35"/>
  <c r="I18" i="35" s="1"/>
  <c r="E27" i="35"/>
  <c r="H5" i="35"/>
  <c r="K6" i="35"/>
  <c r="K7" i="35"/>
  <c r="K8" i="35"/>
  <c r="K9" i="35"/>
  <c r="K10" i="35"/>
  <c r="H11" i="35"/>
  <c r="K12" i="35"/>
  <c r="K13" i="35"/>
  <c r="K14" i="35"/>
  <c r="K15" i="35"/>
  <c r="K16" i="35"/>
  <c r="K17" i="35"/>
  <c r="I4" i="34"/>
  <c r="E18" i="34"/>
  <c r="G23" i="34"/>
  <c r="G21" i="34"/>
  <c r="G17" i="34"/>
  <c r="G15" i="34"/>
  <c r="G13" i="34"/>
  <c r="I4" i="35" l="1"/>
  <c r="I26" i="35"/>
  <c r="J28" i="35" s="1"/>
  <c r="E28" i="34"/>
  <c r="I26" i="34" s="1"/>
  <c r="H19" i="34"/>
  <c r="I18" i="34" l="1"/>
  <c r="J28" i="34" s="1"/>
  <c r="J42" i="27" l="1"/>
  <c r="J40" i="27"/>
  <c r="J39" i="27"/>
  <c r="J38" i="27"/>
  <c r="E46" i="27"/>
  <c r="F46" i="27"/>
  <c r="K42" i="27" s="1"/>
  <c r="L42" i="27" s="1"/>
  <c r="E39" i="27"/>
  <c r="J41" i="27" s="1"/>
  <c r="F39" i="27"/>
  <c r="K41" i="27" s="1"/>
  <c r="E30" i="27"/>
  <c r="F30" i="27"/>
  <c r="K40" i="27" s="1"/>
  <c r="L40" i="27" s="1"/>
  <c r="E20" i="27"/>
  <c r="F20" i="27"/>
  <c r="K39" i="27" s="1"/>
  <c r="L39" i="27" s="1"/>
  <c r="E13" i="27"/>
  <c r="F13" i="27"/>
  <c r="K38" i="27" s="1"/>
  <c r="K31" i="19"/>
  <c r="K29" i="19"/>
  <c r="K27" i="19"/>
  <c r="E38" i="19"/>
  <c r="F38" i="19"/>
  <c r="L31" i="19" s="1"/>
  <c r="M31" i="19" s="1"/>
  <c r="E32" i="19"/>
  <c r="K30" i="19" s="1"/>
  <c r="F32" i="19"/>
  <c r="L30" i="19" s="1"/>
  <c r="E27" i="19"/>
  <c r="F27" i="19"/>
  <c r="L29" i="19" s="1"/>
  <c r="M29" i="19" s="1"/>
  <c r="E21" i="19"/>
  <c r="K28" i="19" s="1"/>
  <c r="F21" i="19"/>
  <c r="L28" i="19" s="1"/>
  <c r="E14" i="19"/>
  <c r="F14" i="19"/>
  <c r="L27" i="19" s="1"/>
  <c r="M27" i="19" l="1"/>
  <c r="L32" i="19"/>
  <c r="M32" i="19" s="1"/>
  <c r="M28" i="19"/>
  <c r="M30" i="19"/>
  <c r="K32" i="19"/>
  <c r="L38" i="27"/>
  <c r="K43" i="27"/>
  <c r="L41" i="27"/>
  <c r="J43" i="27"/>
  <c r="L43" i="27" l="1"/>
  <c r="D22" i="28" l="1"/>
  <c r="C22" i="28"/>
  <c r="D10" i="28"/>
  <c r="C10" i="28"/>
</calcChain>
</file>

<file path=xl/sharedStrings.xml><?xml version="1.0" encoding="utf-8"?>
<sst xmlns="http://schemas.openxmlformats.org/spreadsheetml/2006/main" count="896" uniqueCount="446">
  <si>
    <t>ACTIVO</t>
  </si>
  <si>
    <t>ACTIVOS CORRIENTES</t>
  </si>
  <si>
    <t>EFECTIVO Y EQUIVALENTES AL EFECTIVO</t>
  </si>
  <si>
    <t>CUENTAS Y DOCUMENTOS POR COBRAR CLIENTES CORRIENTES</t>
  </si>
  <si>
    <t>(-) PROVISIÓN CUENTAS INCOBRABLES Y DETERIORO</t>
  </si>
  <si>
    <t>ACTIVOS POR IMPUESTOS DIFERIDOS CORRIENTES</t>
  </si>
  <si>
    <t>INV DE PROD TERM Y MERC EN ALMACÉN</t>
  </si>
  <si>
    <t>ACTIVOS NO CORRIENTES</t>
  </si>
  <si>
    <t>TERRENOS</t>
  </si>
  <si>
    <t>MUEBLES Y ENSERES</t>
  </si>
  <si>
    <t>MAQUINARIA, EQUIPO, INSTALACIONES Y ADECUACIONES</t>
  </si>
  <si>
    <t>EQUIPO DE COMPUTACIÓN Y SOFTWARE</t>
  </si>
  <si>
    <t>VEHICULOS, EQUIPO DE TRANSPORTE Y CAMINERO MOVIL</t>
  </si>
  <si>
    <t>(-) DEP ACUMULADA PROPIEDAD, PLANTA Y EQUIPO</t>
  </si>
  <si>
    <t>PASIVO</t>
  </si>
  <si>
    <t>PASIVOS CORRIENTES</t>
  </si>
  <si>
    <t>CUENTAS Y DOCUMENTOS POR PAGAR PROVEEDORES CORRIENTES</t>
  </si>
  <si>
    <t>OTRAS CUENTAS Y DOCUMENTOS POR PAGAR CORRIENTES</t>
  </si>
  <si>
    <t>OBLIGACIONES CON EL IESS</t>
  </si>
  <si>
    <t>PASIVOS NO CORRIENTES</t>
  </si>
  <si>
    <t>OTRAS CUENTAS Y DOCUMENTOS POR PAGAR NO CORRIENTES</t>
  </si>
  <si>
    <t>TOTAL PATRIMONIO NETO</t>
  </si>
  <si>
    <t>TOTAL PASIVO Y PATRIMONIO</t>
  </si>
  <si>
    <t>OBLIGACIONES CON INSTITUCIONES FINANCIERAS - CORRIENTES</t>
  </si>
  <si>
    <t xml:space="preserve">PATRIMONIO </t>
  </si>
  <si>
    <t>ESTADO DE SITUACIÓN FINANCIERA</t>
  </si>
  <si>
    <t>Variación</t>
  </si>
  <si>
    <t>%</t>
  </si>
  <si>
    <t>Costo de Ventas</t>
  </si>
  <si>
    <t>Efectivo Y Equivalentes Al Efectivo</t>
  </si>
  <si>
    <t>Activos Por Impuestos Diferidos Corrientes</t>
  </si>
  <si>
    <t>Terrenos</t>
  </si>
  <si>
    <t>Muebles Y Enseres</t>
  </si>
  <si>
    <t>Maquinaria, Equipo, Instalaciones Y Adecuaciones</t>
  </si>
  <si>
    <t>Equipo De Computación Y Software</t>
  </si>
  <si>
    <t>(-) Dep Acumulada Propiedad, Planta Y Equipo</t>
  </si>
  <si>
    <t>Obligaciones Con El Iess</t>
  </si>
  <si>
    <t xml:space="preserve">Utilidad Bruta En Ventas </t>
  </si>
  <si>
    <t xml:space="preserve">Utilidad Operativa </t>
  </si>
  <si>
    <t>Utilidad Antes Imp/Part. Trab</t>
  </si>
  <si>
    <t>15% Participación Trabajadores</t>
  </si>
  <si>
    <t>Utilidad Antes Impuestos</t>
  </si>
  <si>
    <t>Utilidad Neta</t>
  </si>
  <si>
    <t>Impuesto a la Renta</t>
  </si>
  <si>
    <t>Inventario</t>
  </si>
  <si>
    <t>Activo Corriente</t>
  </si>
  <si>
    <t>Activo No Corriente</t>
  </si>
  <si>
    <t>Pasivo Corriente</t>
  </si>
  <si>
    <t>Pasivo No Corriente</t>
  </si>
  <si>
    <t>Absoluta</t>
  </si>
  <si>
    <t>Relativa</t>
  </si>
  <si>
    <t>Gobierno y Cultura</t>
  </si>
  <si>
    <t>Estrategia y Objetivos</t>
  </si>
  <si>
    <t>Desempeño</t>
  </si>
  <si>
    <t>Revisión</t>
  </si>
  <si>
    <t>Información, Comunicación y Reporte</t>
  </si>
  <si>
    <t>¿La empresa cuenta con un organigrama?</t>
  </si>
  <si>
    <t>¿Se han establecido procedimientos para la adquisición, manejo y control del inventario?</t>
  </si>
  <si>
    <t>¿La empresa cuenta con personal profesional y capacitado para el cumplimiento de sus funciones?</t>
  </si>
  <si>
    <t>¿Se evalúa el desempeño de los trabajadores?</t>
  </si>
  <si>
    <t>¿Existe segregación de funciones y responsabilidades?</t>
  </si>
  <si>
    <t>¿La empresa cuenta con misión, visión y objetivos establecidos?</t>
  </si>
  <si>
    <t>¿Los trabajadores conocen los objetivos de la empresa?</t>
  </si>
  <si>
    <t>¿La empresa conoce las implicaciones de la políticas estatales actuales?</t>
  </si>
  <si>
    <t>¿La empresa identifica sus debilidades respecto a sus competidores directos?</t>
  </si>
  <si>
    <t>¿Rinollanta conoce los riesgos existentes en su actividad económica?</t>
  </si>
  <si>
    <t>¿La empresa evalúa cambios importantes?</t>
  </si>
  <si>
    <t>¿La empresa utiliza eficientemente sus recursos tecnológicos?</t>
  </si>
  <si>
    <t>¿La información intercambiada en la empresa es importante, exacta y oportuna?</t>
  </si>
  <si>
    <t>RINOLLANTA</t>
  </si>
  <si>
    <t>N°</t>
  </si>
  <si>
    <t>PREGUNTA</t>
  </si>
  <si>
    <t>SI</t>
  </si>
  <si>
    <t>NO</t>
  </si>
  <si>
    <t>TOTAL</t>
  </si>
  <si>
    <t>FECHA</t>
  </si>
  <si>
    <t>CÓDIGO</t>
  </si>
  <si>
    <t>DESCRIPCIÓN</t>
  </si>
  <si>
    <t xml:space="preserve">AUXILIAR </t>
  </si>
  <si>
    <t>DEBE</t>
  </si>
  <si>
    <t>HABER</t>
  </si>
  <si>
    <t>Iva Pagado</t>
  </si>
  <si>
    <t>Inventario de Mercaderías</t>
  </si>
  <si>
    <t xml:space="preserve">      Iva Pagado</t>
  </si>
  <si>
    <t>VENTA</t>
  </si>
  <si>
    <t xml:space="preserve">      Ventas</t>
  </si>
  <si>
    <t xml:space="preserve">      IVA Cobrado</t>
  </si>
  <si>
    <t>Pr. Costo de productos vendidos</t>
  </si>
  <si>
    <t>Ventas</t>
  </si>
  <si>
    <t>IVA Cobrado</t>
  </si>
  <si>
    <t xml:space="preserve">      Costo de Ventas</t>
  </si>
  <si>
    <t xml:space="preserve">      Inventario de Mercaderías</t>
  </si>
  <si>
    <t>¿Existe comunicación en la empresa, en sentido ascendente y descendente?</t>
  </si>
  <si>
    <t>¿Se han establecido procedimientos para el cumplimiento de las actividades en la empresa?</t>
  </si>
  <si>
    <t>¿Se controla el maximo y minimo de las existencias?</t>
  </si>
  <si>
    <t>¿Los ajustes del inventario son autorizados unicamente por gerencia?</t>
  </si>
  <si>
    <t>¿Son conciliados los inventarios con los registros contables?</t>
  </si>
  <si>
    <t>¿Se ha establecido un periodo de tiempo para realizar constataciones fisicas del inventario?</t>
  </si>
  <si>
    <t>¿El inventario es almacenado en instalaciones adecuadas?</t>
  </si>
  <si>
    <t>¿Solo los jefes de sucursal tienen acceso a los lugares donde se almacena el inventario?</t>
  </si>
  <si>
    <t>¿Los jefes de sucursal están autorizados para realizar compras?</t>
  </si>
  <si>
    <t>¿El inventario de la empresa está asegurado?</t>
  </si>
  <si>
    <t>¿Se han establecido responsabilidades para los encargados del registro y custodia del inventario?</t>
  </si>
  <si>
    <t>¿Las adquisiciones de inventario se realizan mediante una órden de compra?</t>
  </si>
  <si>
    <t>¿La empresa fija plazos para la recepción de mercadería?</t>
  </si>
  <si>
    <t>¿Se verifica que las adquisiciones de mercadería cuenten con los documentos de respaldo respectivos?</t>
  </si>
  <si>
    <t>¿Al recibir la mercadería se verifica su estado y correcta cantidad?</t>
  </si>
  <si>
    <t>¿Se verifica que el ingreso de la compra se registre correctamente en el sistema?</t>
  </si>
  <si>
    <t>¿La empresa maneja mínimos de inventario para realizar una nueva compra?</t>
  </si>
  <si>
    <t>¿Los registros de inventarios son adecuadamente valorizados?</t>
  </si>
  <si>
    <t>X</t>
  </si>
  <si>
    <t>Patrimonio Neto</t>
  </si>
  <si>
    <t>Activo</t>
  </si>
  <si>
    <t xml:space="preserve"> $                   -   </t>
  </si>
  <si>
    <t xml:space="preserve">Cuentas Y Documentos Por Cobrar Clientes </t>
  </si>
  <si>
    <t>(-) Provisión Cuentas Incobrables</t>
  </si>
  <si>
    <t>Vehículos</t>
  </si>
  <si>
    <t>Cuenta</t>
  </si>
  <si>
    <t>(-)Costo De Ventas</t>
  </si>
  <si>
    <t xml:space="preserve">(-)Gastos Adm-Ventas </t>
  </si>
  <si>
    <t xml:space="preserve">(-)Gastos  Financieros </t>
  </si>
  <si>
    <t>Imp. Renta</t>
  </si>
  <si>
    <t>$</t>
  </si>
  <si>
    <t>Pasivo</t>
  </si>
  <si>
    <t xml:space="preserve">Obligaciones Con Instituciones Financieras </t>
  </si>
  <si>
    <t xml:space="preserve">PONDERACIÓN </t>
  </si>
  <si>
    <t>CALIFICACIÓN</t>
  </si>
  <si>
    <t>OBSERVACIÓN</t>
  </si>
  <si>
    <t xml:space="preserve">No todo el personal conoce las debilidades frente a sus competidores. </t>
  </si>
  <si>
    <t>La empresa tiene establecido un organigrama pero no existe un respaldo documental que lo formalize.</t>
  </si>
  <si>
    <t>Existe segregación de funciones pero no se han definido las responsabilidades para cada uno de los puestos.</t>
  </si>
  <si>
    <t>Actualmente se está trabajando en la implementación de procedimientos.</t>
  </si>
  <si>
    <t xml:space="preserve">El propietario de Rinollanta conoce la razón de ser de la empresa y a donde quiere llegar, aunque esto no se encuentra documentado. </t>
  </si>
  <si>
    <t>No existen objetivos establecidos en la empresa.</t>
  </si>
  <si>
    <t>Falta de documentación en los procesos.</t>
  </si>
  <si>
    <t>No existe un tratamiento contable definido.</t>
  </si>
  <si>
    <t>El resto de personal ingresa únicamente con autorización.</t>
  </si>
  <si>
    <t>Cuando se trata de cantidades pequeñas.</t>
  </si>
  <si>
    <t>No existe un uso correcto de la órden de compra.</t>
  </si>
  <si>
    <t>Debe existir el sustento respectivo.</t>
  </si>
  <si>
    <t>¿El personal a cargo del inventario es profesional y se encuentra capacitado para el cumplimiento de sus funciones?</t>
  </si>
  <si>
    <t>¿Los encargados del inventario emiten reportes a gerencia?</t>
  </si>
  <si>
    <t>¿Se ha elaborado un plan de acción para corregir riesgos identificados en el inventario?</t>
  </si>
  <si>
    <t>¿La empresa dispone del stock necesario para el cumplimiento de objetivos?</t>
  </si>
  <si>
    <t>¿La empresa conoce las implicaciones de las políticas de gobierno sobre los productos que comercializa?</t>
  </si>
  <si>
    <t>¿Rinollanta conoce el inventario que comercializan sus competidores directos?</t>
  </si>
  <si>
    <t>¿La información relacionada a inventarios es oportuna?</t>
  </si>
  <si>
    <t>¿Se mantiene una buena comunicación con los proveedores de inventario?</t>
  </si>
  <si>
    <t>¿La información de inventario se maneja con el mismo sistema en todas las sucursales?</t>
  </si>
  <si>
    <t>Ing. Oswaldo Barros</t>
  </si>
  <si>
    <t>CPA. Carmen Carrillo</t>
  </si>
  <si>
    <t>No todo el personal conoce a la perfección el manejo del inventario.</t>
  </si>
  <si>
    <t>No todo el personal tiene conocimiento.</t>
  </si>
  <si>
    <t>Existe una sola persona encargada de la verificación.</t>
  </si>
  <si>
    <t>Posibles errores de ingreso de inventario.</t>
  </si>
  <si>
    <t>¿La información relacionada con el inventario es confiable para la toma de decisiones?</t>
  </si>
  <si>
    <t xml:space="preserve">      Proveedores</t>
  </si>
  <si>
    <t>Proveedores</t>
  </si>
  <si>
    <t>Caja</t>
  </si>
  <si>
    <t>10%-50%</t>
  </si>
  <si>
    <t>51%-75%</t>
  </si>
  <si>
    <t>76%-95%</t>
  </si>
  <si>
    <t>Bajo</t>
  </si>
  <si>
    <t>Moderado</t>
  </si>
  <si>
    <t>Alto</t>
  </si>
  <si>
    <t>Confianza</t>
  </si>
  <si>
    <t>Riesgo</t>
  </si>
  <si>
    <t>Rango</t>
  </si>
  <si>
    <t>COMPONENTES</t>
  </si>
  <si>
    <t>NIVEL DE CONFIANZA</t>
  </si>
  <si>
    <t>NIVEL DE RIESGO</t>
  </si>
  <si>
    <t>PONDERACIÓN TOTAL</t>
  </si>
  <si>
    <t>CALIFICACIÓN TOTAL</t>
  </si>
  <si>
    <t>¿Rinollanta cuenta con un reglamento interno de trabajo y reglamento de salud y seguridad ocupacional?</t>
  </si>
  <si>
    <t>No se ha establecido un reglamento interno de trabajo.</t>
  </si>
  <si>
    <t>¿La empresa clasifica y califica los riesgos?</t>
  </si>
  <si>
    <t>¿Existen medidas de seguridad y vigilancia en la empresa?</t>
  </si>
  <si>
    <t>¿Se da respuesta a los riesgos identificados por la empresa ?</t>
  </si>
  <si>
    <t>¿Rinollanta ha establecido los riesgos que pueden afectar el giro del negocio?</t>
  </si>
  <si>
    <t>¿Se ha implementado señalización de seguridad en la empresa?</t>
  </si>
  <si>
    <t>La empresa no ha formalizado la administración de riesgos.</t>
  </si>
  <si>
    <t xml:space="preserve">¿Rinollanta efectúa reportes sobre eventualidades surgidas en la empresa? </t>
  </si>
  <si>
    <t>¿Los Jefes de Sucursal son responsables del inventario en cada agencia?</t>
  </si>
  <si>
    <t>¿El inventario es el adecuado para cumplir con los objetivos de Rinollanta?</t>
  </si>
  <si>
    <t>¿Existe control sobre el dinero que ingresa por concepto de venta de inventario?</t>
  </si>
  <si>
    <t xml:space="preserve">      Bancos</t>
  </si>
  <si>
    <t>Pr. Devolución de la factura No. 33063. Nota de crédito No. 843.</t>
  </si>
  <si>
    <t>TARJETA DE CONTROL DE EXISTENCIAS-KÁRDEX DE MERCADERÍAS</t>
  </si>
  <si>
    <t>ARTÍCULO:</t>
  </si>
  <si>
    <t>U.M:</t>
  </si>
  <si>
    <t>Unidades</t>
  </si>
  <si>
    <t>CÓDIGO:</t>
  </si>
  <si>
    <t>MÉTODO:</t>
  </si>
  <si>
    <t>Promedio Ponderado</t>
  </si>
  <si>
    <t>Fecha</t>
  </si>
  <si>
    <t>Conceptos</t>
  </si>
  <si>
    <t>INGRESOS</t>
  </si>
  <si>
    <t>EGRESOS</t>
  </si>
  <si>
    <t>SALDOS</t>
  </si>
  <si>
    <t>Cant.</t>
  </si>
  <si>
    <t>Costo Unit.</t>
  </si>
  <si>
    <t>Total</t>
  </si>
  <si>
    <t>PEPS</t>
  </si>
  <si>
    <t xml:space="preserve">      Caja</t>
  </si>
  <si>
    <t xml:space="preserve">Pr. Devolución de productos vendidos, según Nota de crédito No. 243. </t>
  </si>
  <si>
    <t>Compra fact. No. 33063</t>
  </si>
  <si>
    <t>Venta fact. No. 10324</t>
  </si>
  <si>
    <t>Compra fact. No. 33073</t>
  </si>
  <si>
    <t>Venta según fact. No.10334</t>
  </si>
  <si>
    <t>Método Promedio Ponderado</t>
  </si>
  <si>
    <t>Método PEPS</t>
  </si>
  <si>
    <t>Pr. Ingreso de mercaderías, Nota de crédito No. 243</t>
  </si>
  <si>
    <t>3a</t>
  </si>
  <si>
    <t>5a</t>
  </si>
  <si>
    <t>6a</t>
  </si>
  <si>
    <t>Estado de Resultados 2017</t>
  </si>
  <si>
    <t xml:space="preserve">Análisis Vertical </t>
  </si>
  <si>
    <t>Estado de Resultados 2016</t>
  </si>
  <si>
    <t xml:space="preserve">Análisis Horizontal </t>
  </si>
  <si>
    <t>Análisis Horizontal</t>
  </si>
  <si>
    <t xml:space="preserve">Otras Cuentas y Documentos Por Pagar </t>
  </si>
  <si>
    <t xml:space="preserve">Cuentas y Documentos Por Pagar Proveedores </t>
  </si>
  <si>
    <t>Otras Cuentas y Documentos Por Pagar</t>
  </si>
  <si>
    <t>Patrimonio</t>
  </si>
  <si>
    <t>TOTALES</t>
  </si>
  <si>
    <t>NOMBRE DE LA EMPRESA: RINOLLANTA</t>
  </si>
  <si>
    <t>MÉTODO: COSO ERM</t>
  </si>
  <si>
    <t>ANÁLISIS SITUACIONAL DE CONTROL INTERNO</t>
  </si>
  <si>
    <t>COMPONENTE: INVENTARIO</t>
  </si>
  <si>
    <t xml:space="preserve">      Ret. IR 1% en Compras</t>
  </si>
  <si>
    <t>Ret. IVA 30% en Ventas</t>
  </si>
  <si>
    <t>Ret. IR 1% en Ventas</t>
  </si>
  <si>
    <t>n</t>
  </si>
  <si>
    <t>N</t>
  </si>
  <si>
    <t>Dev/Compra fact. 33063</t>
  </si>
  <si>
    <t>Dev/Venta fact. 10334</t>
  </si>
  <si>
    <t>Entrevistado a:</t>
  </si>
  <si>
    <t>14 de septiembre del 2018</t>
  </si>
  <si>
    <t xml:space="preserve"> Autoras</t>
  </si>
  <si>
    <t>Elaborado por:</t>
  </si>
  <si>
    <t>Fecha:</t>
  </si>
  <si>
    <t>Inexistencia de un control contable.</t>
  </si>
  <si>
    <t>La gerencia no ha dispuesto la elaboración de reportes.</t>
  </si>
  <si>
    <t>Llanta ACE1 R15</t>
  </si>
  <si>
    <t>Pr. Adquisición de Llantas ACE1 R15, a un contribuyente especial según factura No. 33063.</t>
  </si>
  <si>
    <t xml:space="preserve">      Llanta ACE1 R15</t>
  </si>
  <si>
    <t>Pr. Venta de Llantas ACE1 R15, al GAD Parroquial AB; según factura No. 10324.</t>
  </si>
  <si>
    <t>Pr. Adquisición de Llantas ACE1 R15, a un contribuyente especial según factura No. 33073.</t>
  </si>
  <si>
    <t>Pr. Venta de Llantas ACE1 R15, al Sr. Carlos Calderón; según factura No. 10334.</t>
  </si>
  <si>
    <t xml:space="preserve">      Venta de Servicios</t>
  </si>
  <si>
    <t>Pr. Venta de Servicio de Alineación y Balanceo; según factura No. 28713.</t>
  </si>
  <si>
    <t xml:space="preserve">      Alineación-Balanceo</t>
  </si>
  <si>
    <t>La empresa no ha implementado escalas de calificación.</t>
  </si>
  <si>
    <t>¿La empresa busca mejorar la administración de los riesgos?</t>
  </si>
  <si>
    <t>N/A</t>
  </si>
  <si>
    <t>OBSERVACIONES</t>
  </si>
  <si>
    <t>Ing. Edwin Villa</t>
  </si>
  <si>
    <t>Autoras</t>
  </si>
  <si>
    <t>ANÁLISIS SITUACIONAL DE CONTROL INTERNO GENERAL</t>
  </si>
  <si>
    <t>Costo de Ordenar</t>
  </si>
  <si>
    <t>Costo de Mantener</t>
  </si>
  <si>
    <t>ANÁLISIS HORIZONTAL-ESTADO DE SITUACIÓN FINANCIERA</t>
  </si>
  <si>
    <t>ANÁLISIS VERTICAL-ESTADO DE RESULTADOS</t>
  </si>
  <si>
    <t>Utilidad Antes Imp/ Part. Trab</t>
  </si>
  <si>
    <t xml:space="preserve">(-)Gastos Financieros </t>
  </si>
  <si>
    <t xml:space="preserve">(-)Gastos Administración - Ventas </t>
  </si>
  <si>
    <t xml:space="preserve">Utilidad Bruta en Ventas </t>
  </si>
  <si>
    <t>(-)Costo de Ventas</t>
  </si>
  <si>
    <t xml:space="preserve">VARIACIÓN </t>
  </si>
  <si>
    <t>Estado de Resultados</t>
  </si>
  <si>
    <t>ANÁLISIS VERTICAL - ESTADO DE SITUACIÓN FINANCIERA- AÑO 2017</t>
  </si>
  <si>
    <t>ANÁLISIS VERTICAL - ESTADO DE SITUACIÓN FINANCIERA- AÑO 2016</t>
  </si>
  <si>
    <t>LLANTA ACE2 315/80R22.5</t>
  </si>
  <si>
    <t xml:space="preserve">LLANTA ACE2 295/80R22.5 </t>
  </si>
  <si>
    <t xml:space="preserve">LLANTA ACE2 235/60R16 </t>
  </si>
  <si>
    <t xml:space="preserve">LLANTA ACE2 225/70R15 </t>
  </si>
  <si>
    <t xml:space="preserve">LLANTA ACE2 185/65R14 </t>
  </si>
  <si>
    <t xml:space="preserve">LLANTA ACE2 185/60R14 </t>
  </si>
  <si>
    <t xml:space="preserve">LLANTA ACE2 175/70R13 </t>
  </si>
  <si>
    <t xml:space="preserve">LLANTA ACE2 LT245/75R16 </t>
  </si>
  <si>
    <t xml:space="preserve">LLANTA ACE2 9.5R17.5 </t>
  </si>
  <si>
    <t xml:space="preserve">LLANTA ACE2 750R16 </t>
  </si>
  <si>
    <t xml:space="preserve">LLANTA ACE2 700R16 </t>
  </si>
  <si>
    <t xml:space="preserve">LLANTA ACE2 700R15 10PR </t>
  </si>
  <si>
    <t xml:space="preserve">LLANTA ACE2 31X10.50R15 </t>
  </si>
  <si>
    <t xml:space="preserve">LLANTA ACE2 195/55R15 </t>
  </si>
  <si>
    <t>LLANTA ACE2 185/70R14</t>
  </si>
  <si>
    <t xml:space="preserve">LLANTA ACE2 175/60R13 </t>
  </si>
  <si>
    <t xml:space="preserve">LLANTA ACE2 275/80R22.5 </t>
  </si>
  <si>
    <t xml:space="preserve">LLANTA ACE2 255/70R16 </t>
  </si>
  <si>
    <t xml:space="preserve">LLANTA ACE2 235/65R17 </t>
  </si>
  <si>
    <t xml:space="preserve">LLANTA ACE2 225/75R15 </t>
  </si>
  <si>
    <t>LLANTA AC EXTRANJERA 2</t>
  </si>
  <si>
    <t xml:space="preserve">LLANTA ACE1 P235/75R15 </t>
  </si>
  <si>
    <t xml:space="preserve">LLANTA ACE1 P235/60R16 </t>
  </si>
  <si>
    <t xml:space="preserve">LLANTA ACE1 700R15 </t>
  </si>
  <si>
    <t xml:space="preserve">LLANTA ACE1 295/80R22.5 </t>
  </si>
  <si>
    <t xml:space="preserve">LLANTA ACE1 265/65R17 </t>
  </si>
  <si>
    <t xml:space="preserve">LLANTA ACE1 255/70R16 </t>
  </si>
  <si>
    <t xml:space="preserve">LLANTA ACE1 245/70R16 </t>
  </si>
  <si>
    <t xml:space="preserve">LLANTA ACE1 235/70R16 </t>
  </si>
  <si>
    <t xml:space="preserve">LLANTA ACE1 235/65R17 </t>
  </si>
  <si>
    <t xml:space="preserve">LLANTA ACE1 235/60R16 </t>
  </si>
  <si>
    <t xml:space="preserve">LLANTA ACE1 235/60R15 </t>
  </si>
  <si>
    <t xml:space="preserve">LLANTA ACE1 225/70R16 </t>
  </si>
  <si>
    <t xml:space="preserve">LLANTA ACE1 225/70R15 </t>
  </si>
  <si>
    <t xml:space="preserve">LLANTA ACE1 225/65R17 </t>
  </si>
  <si>
    <t xml:space="preserve">LLANTA ACE1 215/75R15 </t>
  </si>
  <si>
    <t xml:space="preserve">LLANTA ACE1 215/75R14 </t>
  </si>
  <si>
    <t xml:space="preserve">LLANTA ACE1 215/65R16 </t>
  </si>
  <si>
    <t xml:space="preserve">LLANTA ACE1 205/50R16 </t>
  </si>
  <si>
    <t xml:space="preserve">LLANTA ACE1 205/45R16 </t>
  </si>
  <si>
    <t xml:space="preserve">LLANTA ACE1 195/65R15 </t>
  </si>
  <si>
    <t xml:space="preserve">LLANTA ACE1 195/60R15 </t>
  </si>
  <si>
    <t xml:space="preserve">LLANTA ACE1 195/60R14 </t>
  </si>
  <si>
    <t>LLANTA ACE1 195/55R15</t>
  </si>
  <si>
    <t>LLANTA ACE1 195/50R15</t>
  </si>
  <si>
    <t xml:space="preserve">LLANTA ACE1 185/70R14 </t>
  </si>
  <si>
    <t xml:space="preserve">LLANTA ACE1 185/70R13 </t>
  </si>
  <si>
    <t xml:space="preserve">LLANTA ACE1 185/65R14 </t>
  </si>
  <si>
    <t xml:space="preserve">LLANTA ACE1 185/60R14 </t>
  </si>
  <si>
    <t xml:space="preserve">LLANTA ACE1 185/60R13 </t>
  </si>
  <si>
    <t xml:space="preserve">LLANTA ACE1 185/55R14 </t>
  </si>
  <si>
    <t xml:space="preserve">LLANTA ACE1 185/50R14 </t>
  </si>
  <si>
    <t xml:space="preserve">LLANTA ACE1 175/70R13 </t>
  </si>
  <si>
    <t>LLANTA ACE1 175/70R12</t>
  </si>
  <si>
    <t xml:space="preserve">LLANTA ACE1 175/60R13 </t>
  </si>
  <si>
    <t xml:space="preserve">LLANTA ACE1 175/50 R13 </t>
  </si>
  <si>
    <t xml:space="preserve">LLANTA ACE1 165/65R13 </t>
  </si>
  <si>
    <t>LLANTA AC EXTRANJERA 1</t>
  </si>
  <si>
    <t xml:space="preserve">LLANTA ACN 295/80R22.5 </t>
  </si>
  <si>
    <t xml:space="preserve">LLANTA ACN 175/70R13 </t>
  </si>
  <si>
    <t>LLANTA ACN 185/65R14</t>
  </si>
  <si>
    <t>LLANTA ACN 165/65R13</t>
  </si>
  <si>
    <t xml:space="preserve">LLANTA ACN  185/60R14 </t>
  </si>
  <si>
    <t xml:space="preserve">LLANTA ACN 255/70R16 </t>
  </si>
  <si>
    <t>LLANTA ACN 235/60R16 LX20</t>
  </si>
  <si>
    <t xml:space="preserve">LLANTA ACN 225/70R15 </t>
  </si>
  <si>
    <t xml:space="preserve">LLANTA ACN 215/65R16 </t>
  </si>
  <si>
    <t>LLANTA ACN 255/70R16 AT2</t>
  </si>
  <si>
    <t xml:space="preserve">LLANTA ACN 750-16 HCT 14 </t>
  </si>
  <si>
    <t xml:space="preserve">LLANTA ACN 750-16 HCT 12 </t>
  </si>
  <si>
    <t xml:space="preserve">LLANTA ACN 700X15 HCT </t>
  </si>
  <si>
    <t xml:space="preserve">LLANTA ACN 245/70R16  </t>
  </si>
  <si>
    <t xml:space="preserve">LLANTA ACN 235/75R15 </t>
  </si>
  <si>
    <t xml:space="preserve">LLANTA ACN 235/60R16 </t>
  </si>
  <si>
    <t xml:space="preserve">LLANTA ACN 225/70R16 </t>
  </si>
  <si>
    <t xml:space="preserve">LLANTA ACN 215/75R15 </t>
  </si>
  <si>
    <t xml:space="preserve">LLANTA ACN 215/75R14 </t>
  </si>
  <si>
    <t xml:space="preserve">LLANTA ACN 205/75R15 </t>
  </si>
  <si>
    <t>LLANTA AC NACIONAL</t>
  </si>
  <si>
    <t>LLANTA ACV 215/75R17.5</t>
  </si>
  <si>
    <t xml:space="preserve">LLANTA ACV 215/75R17.5 </t>
  </si>
  <si>
    <t xml:space="preserve">LLANTA ACV 175/50R13 </t>
  </si>
  <si>
    <t xml:space="preserve">LLANTA ACV 700R15 </t>
  </si>
  <si>
    <t xml:space="preserve">LLANTA ACV 700R16 </t>
  </si>
  <si>
    <t>LLANTA ACV 195/55R15</t>
  </si>
  <si>
    <t xml:space="preserve">LLANTA ACV 225/70R15 </t>
  </si>
  <si>
    <t xml:space="preserve">LLANTA ACV 165/70R12 </t>
  </si>
  <si>
    <t xml:space="preserve">LLANTA ACV 215/50R13 </t>
  </si>
  <si>
    <t xml:space="preserve">LLANTA ACV 315/80R22.5 </t>
  </si>
  <si>
    <t>LLANTA ACV 315/80R22.5</t>
  </si>
  <si>
    <t>LLANTA AC VARIAS</t>
  </si>
  <si>
    <t xml:space="preserve">LLANTA AG 1300X24 </t>
  </si>
  <si>
    <t>LLANTA AG 21L24</t>
  </si>
  <si>
    <t xml:space="preserve">LLANTA AG 19.5L-24 </t>
  </si>
  <si>
    <t xml:space="preserve">LLANTA AG 405/70-24 </t>
  </si>
  <si>
    <t xml:space="preserve">LLANTA AG 18.4X38 </t>
  </si>
  <si>
    <t xml:space="preserve">LLANTA AG 18.4X34 </t>
  </si>
  <si>
    <t xml:space="preserve">LLANTA AG 16.9X28 </t>
  </si>
  <si>
    <t xml:space="preserve">LLANTA AG 16.9X30 </t>
  </si>
  <si>
    <t xml:space="preserve">LLANTA AG 16.9X20 </t>
  </si>
  <si>
    <t xml:space="preserve">LLANTA AG 19.5L24 </t>
  </si>
  <si>
    <t>AUTO-CAMIONETA EXTRANJERA 2</t>
  </si>
  <si>
    <t>AUTO-CAMIONETA EXTRANJERA 1</t>
  </si>
  <si>
    <t>LLANTA AG 19.5-L24</t>
  </si>
  <si>
    <t>AUTO-CAMIONETA NACIONAL</t>
  </si>
  <si>
    <t xml:space="preserve">LLANTA AG 16.9X28 R4 </t>
  </si>
  <si>
    <t>AUTO-CAMIONETA VARIAS</t>
  </si>
  <si>
    <t xml:space="preserve">LLANTA AG 1400X24 </t>
  </si>
  <si>
    <t>AGRÍCOLA</t>
  </si>
  <si>
    <t xml:space="preserve">LLANTA AG 1300-24 </t>
  </si>
  <si>
    <t>ESTRATOS</t>
  </si>
  <si>
    <t xml:space="preserve">LLANTA AG 20.5X25 </t>
  </si>
  <si>
    <t>ÍTEMS POR ESTRATO</t>
  </si>
  <si>
    <t xml:space="preserve">LLANTA AG300X15 </t>
  </si>
  <si>
    <t>LLANTA AGRÍCOLA</t>
  </si>
  <si>
    <t xml:space="preserve">VENTAS ANUALES </t>
  </si>
  <si>
    <t>COSTO</t>
  </si>
  <si>
    <t>CANT.</t>
  </si>
  <si>
    <t>ESTRATO</t>
  </si>
  <si>
    <t>DESARROLLO DE TÉCNICAS DE ADMINISTRACIÓN DEL INVENTARIO</t>
  </si>
  <si>
    <t>Punto  de Reposición</t>
  </si>
  <si>
    <t>Tiempo entre Ordenes</t>
  </si>
  <si>
    <t>Número de Ordenes</t>
  </si>
  <si>
    <t xml:space="preserve">Costo Total </t>
  </si>
  <si>
    <t>Costo de Pedido</t>
  </si>
  <si>
    <t xml:space="preserve">Costo de Mantenimiento </t>
  </si>
  <si>
    <t>Cantidad Óptima de Pedido (Q)</t>
  </si>
  <si>
    <t>EOQ</t>
  </si>
  <si>
    <t>Rinollanta asigna un porcentaje, según el articulo</t>
  </si>
  <si>
    <t xml:space="preserve">Determina la empresa, según el Articulo </t>
  </si>
  <si>
    <t>Inventario de Seguridad + Unidades Vendidas</t>
  </si>
  <si>
    <t xml:space="preserve">Uso Unidades </t>
  </si>
  <si>
    <t>C</t>
  </si>
  <si>
    <t>O</t>
  </si>
  <si>
    <t>S</t>
  </si>
  <si>
    <t>COSTO DE MANTENER</t>
  </si>
  <si>
    <t>COSTO DE ORDENAR</t>
  </si>
  <si>
    <t>USO UNIDADES</t>
  </si>
  <si>
    <t>INVENTARIO DE SEGURIDAD</t>
  </si>
  <si>
    <t>UNIDADES VENDIDAS</t>
  </si>
  <si>
    <t>COSTO UNITARIO</t>
  </si>
  <si>
    <t>DATOS INVENTARIO EOQ</t>
  </si>
  <si>
    <t>VENTA DEL SERVICIO</t>
  </si>
  <si>
    <t>DEVOLUCIÓN EN VENTAS</t>
  </si>
  <si>
    <t>VENTA DE MERCADERÍAS CON DESCUENTO</t>
  </si>
  <si>
    <t>COMPRA DE MERCADERÍA CON DESCUENTO</t>
  </si>
  <si>
    <t>DEVOLUCIÓN EN COMPRAS</t>
  </si>
  <si>
    <t>COMPRA DE MERCADERÍA</t>
  </si>
  <si>
    <t xml:space="preserve">REGISTRO CONTABLE-SISTEMA DE CUENTA PERMANENTE </t>
  </si>
  <si>
    <t>Suma del % del Consumo de Valorización</t>
  </si>
  <si>
    <t>%Consumo Valorización Acumulada</t>
  </si>
  <si>
    <t>Costo Total Inventario / Costo de cada Articulo</t>
  </si>
  <si>
    <t xml:space="preserve">% Consumo Valorización </t>
  </si>
  <si>
    <t>Suma del Costo de los Artículos</t>
  </si>
  <si>
    <t>Consumo Valorización Acumulada</t>
  </si>
  <si>
    <t xml:space="preserve">Costo Artículo </t>
  </si>
  <si>
    <t xml:space="preserve">Consumo Valorización </t>
  </si>
  <si>
    <t>Suma de la Participación de cada Artículo</t>
  </si>
  <si>
    <t xml:space="preserve">Participación Acumulada </t>
  </si>
  <si>
    <t>100% / total de Artículos Técnica ABC</t>
  </si>
  <si>
    <t>Participación  de cada Artículo</t>
  </si>
  <si>
    <t>B</t>
  </si>
  <si>
    <t>A</t>
  </si>
  <si>
    <t>Categorización</t>
  </si>
  <si>
    <t xml:space="preserve">Valor del Inventario </t>
  </si>
  <si>
    <t xml:space="preserve">% DEL CONSUMO TOTAL </t>
  </si>
  <si>
    <t xml:space="preserve">% DEL CONSUMO VALORIZACIÓN </t>
  </si>
  <si>
    <t xml:space="preserve">CONSUMO ACUMULADO </t>
  </si>
  <si>
    <t xml:space="preserve">CONSUMO - VALORIZACIÓN </t>
  </si>
  <si>
    <t>% PARTICIPACIÓN ACUMULADA</t>
  </si>
  <si>
    <t>% PARTICIPACIÓN  POR ARTICULO</t>
  </si>
  <si>
    <t xml:space="preserve">COSTO TOTAL </t>
  </si>
  <si>
    <t>ABC</t>
  </si>
  <si>
    <t>CATEGORÍA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</si>
</sst>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$&quot;* #,##0.00_ ;_ &quot;$&quot;* \-#,##0.00_ ;_ &quot;$&quot;* &quot;-&quot;??_ ;_ @_ "/>
    <numFmt numFmtId="164" formatCode="_(&quot;$&quot;* #,##0.00_);_(&quot;$&quot;* \(#,##0.00\);_(&quot;$&quot;* &quot;-&quot;??_);_(@_)"/>
    <numFmt numFmtId="165" formatCode="_ [$$-300A]* #,##0.00_ ;_ [$$-300A]* \-#,##0.00_ ;_ [$$-300A]* &quot;-&quot;??_ ;_ @_ 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2"/>
      <color rgb="FFFF000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1"/>
      <name val="Times New Roman"/>
      <family val="1"/>
    </font>
    <font>
      <sz val="12"/>
      <color theme="1"/>
      <name val="Calibri"/>
      <family val="2"/>
      <scheme val="minor"/>
    </font>
    <font>
      <sz val="12"/>
      <color theme="0"/>
      <name val="Arial"/>
      <family val="2"/>
    </font>
    <font>
      <b/>
      <sz val="9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0"/>
      <name val="Arial"/>
      <family val="2"/>
    </font>
    <font>
      <sz val="8"/>
      <color theme="1"/>
      <name val="Arial"/>
      <family val="2"/>
    </font>
    <font>
      <sz val="8"/>
      <color theme="1"/>
      <name val="Arial 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57">
    <xf numFmtId="0" fontId="0" fillId="0" borderId="0" xfId="0"/>
    <xf numFmtId="44" fontId="3" fillId="0" borderId="0" xfId="0" applyNumberFormat="1" applyFont="1"/>
    <xf numFmtId="10" fontId="3" fillId="0" borderId="0" xfId="0" applyNumberFormat="1" applyFont="1"/>
    <xf numFmtId="10" fontId="3" fillId="0" borderId="0" xfId="2" applyNumberFormat="1" applyFont="1"/>
    <xf numFmtId="164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10" fontId="6" fillId="0" borderId="1" xfId="0" applyNumberFormat="1" applyFont="1" applyBorder="1"/>
    <xf numFmtId="164" fontId="8" fillId="0" borderId="1" xfId="0" applyNumberFormat="1" applyFont="1" applyBorder="1"/>
    <xf numFmtId="44" fontId="8" fillId="0" borderId="1" xfId="0" applyNumberFormat="1" applyFont="1" applyBorder="1"/>
    <xf numFmtId="0" fontId="10" fillId="0" borderId="1" xfId="0" applyFont="1" applyBorder="1"/>
    <xf numFmtId="44" fontId="10" fillId="0" borderId="1" xfId="0" applyNumberFormat="1" applyFont="1" applyBorder="1"/>
    <xf numFmtId="0" fontId="0" fillId="0" borderId="0" xfId="0"/>
    <xf numFmtId="0" fontId="3" fillId="0" borderId="0" xfId="0" applyFont="1"/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wrapText="1"/>
    </xf>
    <xf numFmtId="0" fontId="10" fillId="0" borderId="0" xfId="0" applyFont="1"/>
    <xf numFmtId="0" fontId="0" fillId="0" borderId="0" xfId="0" applyFill="1"/>
    <xf numFmtId="0" fontId="8" fillId="0" borderId="1" xfId="0" applyFont="1" applyBorder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/>
    </xf>
    <xf numFmtId="10" fontId="8" fillId="0" borderId="1" xfId="0" applyNumberFormat="1" applyFont="1" applyBorder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8" fillId="0" borderId="1" xfId="0" applyFont="1" applyFill="1" applyBorder="1"/>
    <xf numFmtId="1" fontId="14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165" fontId="0" fillId="0" borderId="0" xfId="0" applyNumberFormat="1"/>
    <xf numFmtId="165" fontId="9" fillId="0" borderId="1" xfId="0" applyNumberFormat="1" applyFont="1" applyBorder="1" applyAlignment="1">
      <alignment horizontal="center"/>
    </xf>
    <xf numFmtId="2" fontId="0" fillId="0" borderId="0" xfId="0" applyNumberFormat="1"/>
    <xf numFmtId="0" fontId="13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14" fontId="6" fillId="0" borderId="1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9" fillId="0" borderId="1" xfId="0" applyFont="1" applyBorder="1"/>
    <xf numFmtId="165" fontId="10" fillId="0" borderId="1" xfId="0" applyNumberFormat="1" applyFont="1" applyBorder="1"/>
    <xf numFmtId="0" fontId="9" fillId="0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14" fontId="10" fillId="6" borderId="1" xfId="0" applyNumberFormat="1" applyFont="1" applyFill="1" applyBorder="1" applyAlignment="1">
      <alignment horizontal="center"/>
    </xf>
    <xf numFmtId="0" fontId="10" fillId="6" borderId="1" xfId="0" applyFont="1" applyFill="1" applyBorder="1"/>
    <xf numFmtId="0" fontId="10" fillId="6" borderId="1" xfId="0" applyFont="1" applyFill="1" applyBorder="1" applyAlignment="1">
      <alignment horizontal="center"/>
    </xf>
    <xf numFmtId="44" fontId="10" fillId="6" borderId="1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44" fontId="15" fillId="6" borderId="1" xfId="0" applyNumberFormat="1" applyFont="1" applyFill="1" applyBorder="1" applyAlignment="1">
      <alignment horizontal="center"/>
    </xf>
    <xf numFmtId="0" fontId="9" fillId="2" borderId="2" xfId="0" applyFont="1" applyFill="1" applyBorder="1"/>
    <xf numFmtId="0" fontId="9" fillId="2" borderId="7" xfId="0" applyFont="1" applyFill="1" applyBorder="1" applyAlignment="1">
      <alignment horizontal="left"/>
    </xf>
    <xf numFmtId="0" fontId="9" fillId="2" borderId="7" xfId="0" applyFont="1" applyFill="1" applyBorder="1"/>
    <xf numFmtId="165" fontId="9" fillId="2" borderId="1" xfId="0" applyNumberFormat="1" applyFont="1" applyFill="1" applyBorder="1" applyAlignment="1">
      <alignment horizontal="center"/>
    </xf>
    <xf numFmtId="0" fontId="0" fillId="2" borderId="0" xfId="0" applyFill="1"/>
    <xf numFmtId="14" fontId="10" fillId="6" borderId="6" xfId="0" applyNumberFormat="1" applyFont="1" applyFill="1" applyBorder="1" applyAlignment="1">
      <alignment horizontal="center"/>
    </xf>
    <xf numFmtId="0" fontId="10" fillId="6" borderId="6" xfId="0" applyFont="1" applyFill="1" applyBorder="1"/>
    <xf numFmtId="0" fontId="10" fillId="6" borderId="6" xfId="0" applyFont="1" applyFill="1" applyBorder="1" applyAlignment="1">
      <alignment horizontal="center"/>
    </xf>
    <xf numFmtId="44" fontId="10" fillId="6" borderId="6" xfId="0" applyNumberFormat="1" applyFont="1" applyFill="1" applyBorder="1" applyAlignment="1">
      <alignment horizontal="center"/>
    </xf>
    <xf numFmtId="0" fontId="10" fillId="6" borderId="16" xfId="0" applyFont="1" applyFill="1" applyBorder="1" applyAlignment="1">
      <alignment horizontal="center"/>
    </xf>
    <xf numFmtId="44" fontId="10" fillId="6" borderId="16" xfId="0" applyNumberFormat="1" applyFont="1" applyFill="1" applyBorder="1" applyAlignment="1">
      <alignment horizontal="center"/>
    </xf>
    <xf numFmtId="0" fontId="10" fillId="6" borderId="17" xfId="0" applyFont="1" applyFill="1" applyBorder="1" applyAlignment="1">
      <alignment horizontal="center"/>
    </xf>
    <xf numFmtId="44" fontId="10" fillId="6" borderId="17" xfId="0" applyNumberFormat="1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44" fontId="10" fillId="6" borderId="5" xfId="0" applyNumberFormat="1" applyFont="1" applyFill="1" applyBorder="1" applyAlignment="1">
      <alignment horizontal="center"/>
    </xf>
    <xf numFmtId="44" fontId="10" fillId="6" borderId="1" xfId="0" applyNumberFormat="1" applyFont="1" applyFill="1" applyBorder="1"/>
    <xf numFmtId="0" fontId="10" fillId="6" borderId="15" xfId="0" applyFont="1" applyFill="1" applyBorder="1" applyAlignment="1">
      <alignment horizontal="center"/>
    </xf>
    <xf numFmtId="44" fontId="10" fillId="6" borderId="15" xfId="0" applyNumberFormat="1" applyFont="1" applyFill="1" applyBorder="1" applyAlignment="1">
      <alignment horizontal="center"/>
    </xf>
    <xf numFmtId="1" fontId="10" fillId="6" borderId="5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/>
    <xf numFmtId="165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wrapText="1"/>
    </xf>
    <xf numFmtId="0" fontId="9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wrapText="1"/>
    </xf>
    <xf numFmtId="165" fontId="9" fillId="2" borderId="0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/>
    <xf numFmtId="14" fontId="6" fillId="0" borderId="1" xfId="0" applyNumberFormat="1" applyFont="1" applyBorder="1"/>
    <xf numFmtId="0" fontId="4" fillId="6" borderId="0" xfId="0" applyFont="1" applyFill="1" applyBorder="1" applyAlignment="1">
      <alignment horizontal="center"/>
    </xf>
    <xf numFmtId="10" fontId="4" fillId="6" borderId="0" xfId="2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0" fontId="9" fillId="6" borderId="1" xfId="2" applyNumberFormat="1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 vertical="center" wrapText="1"/>
    </xf>
    <xf numFmtId="10" fontId="10" fillId="6" borderId="1" xfId="2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/>
    <xf numFmtId="49" fontId="8" fillId="5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49" fontId="8" fillId="3" borderId="1" xfId="0" applyNumberFormat="1" applyFont="1" applyFill="1" applyBorder="1" applyAlignment="1">
      <alignment horizontal="center"/>
    </xf>
    <xf numFmtId="49" fontId="8" fillId="4" borderId="1" xfId="0" applyNumberFormat="1" applyFont="1" applyFill="1" applyBorder="1" applyAlignment="1">
      <alignment horizontal="center"/>
    </xf>
    <xf numFmtId="0" fontId="8" fillId="0" borderId="0" xfId="0" applyFont="1" applyBorder="1"/>
    <xf numFmtId="0" fontId="8" fillId="0" borderId="11" xfId="0" applyFont="1" applyBorder="1"/>
    <xf numFmtId="0" fontId="8" fillId="0" borderId="1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8" fillId="2" borderId="9" xfId="0" applyFont="1" applyFill="1" applyBorder="1"/>
    <xf numFmtId="0" fontId="8" fillId="2" borderId="11" xfId="0" applyFont="1" applyFill="1" applyBorder="1"/>
    <xf numFmtId="0" fontId="8" fillId="2" borderId="14" xfId="0" applyFont="1" applyFill="1" applyBorder="1"/>
    <xf numFmtId="0" fontId="8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4" fontId="10" fillId="0" borderId="0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2" fontId="8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/>
    <xf numFmtId="0" fontId="14" fillId="0" borderId="1" xfId="0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2" borderId="0" xfId="0" applyFill="1" applyBorder="1"/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5" fontId="9" fillId="2" borderId="2" xfId="0" applyNumberFormat="1" applyFont="1" applyFill="1" applyBorder="1" applyAlignment="1">
      <alignment horizontal="center"/>
    </xf>
    <xf numFmtId="165" fontId="9" fillId="2" borderId="7" xfId="0" applyNumberFormat="1" applyFont="1" applyFill="1" applyBorder="1" applyAlignment="1">
      <alignment horizontal="center"/>
    </xf>
    <xf numFmtId="165" fontId="9" fillId="2" borderId="3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left" vertical="center"/>
    </xf>
    <xf numFmtId="0" fontId="13" fillId="2" borderId="13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6" fillId="0" borderId="18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0" fontId="16" fillId="0" borderId="9" xfId="0" applyFont="1" applyFill="1" applyBorder="1" applyAlignment="1">
      <alignment horizontal="center"/>
    </xf>
    <xf numFmtId="0" fontId="16" fillId="0" borderId="8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center"/>
    </xf>
    <xf numFmtId="0" fontId="16" fillId="0" borderId="14" xfId="0" applyFont="1" applyFill="1" applyBorder="1" applyAlignment="1">
      <alignment horizontal="center"/>
    </xf>
    <xf numFmtId="0" fontId="13" fillId="0" borderId="1" xfId="0" applyFont="1" applyBorder="1" applyAlignment="1">
      <alignment horizontal="right" vertical="center"/>
    </xf>
    <xf numFmtId="0" fontId="13" fillId="2" borderId="18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6" fillId="7" borderId="12" xfId="0" applyFont="1" applyFill="1" applyBorder="1" applyAlignment="1">
      <alignment horizontal="left"/>
    </xf>
    <xf numFmtId="0" fontId="16" fillId="7" borderId="13" xfId="0" applyFont="1" applyFill="1" applyBorder="1" applyAlignment="1">
      <alignment horizontal="left"/>
    </xf>
    <xf numFmtId="0" fontId="16" fillId="7" borderId="14" xfId="0" applyFont="1" applyFill="1" applyBorder="1" applyAlignment="1">
      <alignment horizontal="left"/>
    </xf>
    <xf numFmtId="0" fontId="16" fillId="7" borderId="18" xfId="0" applyFont="1" applyFill="1" applyBorder="1" applyAlignment="1">
      <alignment horizontal="left"/>
    </xf>
    <xf numFmtId="0" fontId="16" fillId="7" borderId="10" xfId="0" applyFont="1" applyFill="1" applyBorder="1" applyAlignment="1">
      <alignment horizontal="left"/>
    </xf>
    <xf numFmtId="0" fontId="16" fillId="7" borderId="9" xfId="0" applyFont="1" applyFill="1" applyBorder="1" applyAlignment="1">
      <alignment horizontal="left"/>
    </xf>
    <xf numFmtId="0" fontId="16" fillId="7" borderId="8" xfId="0" applyFont="1" applyFill="1" applyBorder="1" applyAlignment="1">
      <alignment horizontal="left"/>
    </xf>
    <xf numFmtId="0" fontId="16" fillId="7" borderId="0" xfId="0" applyFont="1" applyFill="1" applyBorder="1" applyAlignment="1">
      <alignment horizontal="left"/>
    </xf>
    <xf numFmtId="0" fontId="16" fillId="7" borderId="11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13" xfId="0" applyBorder="1" applyAlignment="1">
      <alignment horizontal="center"/>
    </xf>
    <xf numFmtId="0" fontId="14" fillId="0" borderId="1" xfId="0" applyFont="1" applyBorder="1" applyAlignment="1">
      <alignment vertical="center"/>
    </xf>
    <xf numFmtId="0" fontId="14" fillId="3" borderId="1" xfId="0" applyFont="1" applyFill="1" applyBorder="1" applyAlignment="1">
      <alignment horizontal="center" vertical="center"/>
    </xf>
    <xf numFmtId="2" fontId="14" fillId="3" borderId="1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/>
    </xf>
    <xf numFmtId="0" fontId="17" fillId="0" borderId="1" xfId="0" applyFont="1" applyBorder="1"/>
    <xf numFmtId="0" fontId="21" fillId="2" borderId="0" xfId="0" applyFont="1" applyFill="1"/>
    <xf numFmtId="0" fontId="20" fillId="2" borderId="18" xfId="0" applyFont="1" applyFill="1" applyBorder="1" applyAlignment="1">
      <alignment horizontal="left" vertical="center"/>
    </xf>
    <xf numFmtId="0" fontId="20" fillId="2" borderId="10" xfId="0" applyFont="1" applyFill="1" applyBorder="1" applyAlignment="1">
      <alignment horizontal="left" vertical="center"/>
    </xf>
    <xf numFmtId="0" fontId="20" fillId="2" borderId="10" xfId="0" applyFont="1" applyFill="1" applyBorder="1" applyAlignment="1">
      <alignment horizontal="left" vertical="center"/>
    </xf>
    <xf numFmtId="0" fontId="17" fillId="2" borderId="9" xfId="0" applyFont="1" applyFill="1" applyBorder="1"/>
    <xf numFmtId="0" fontId="20" fillId="2" borderId="8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horizontal="left" vertical="center"/>
    </xf>
    <xf numFmtId="0" fontId="17" fillId="2" borderId="11" xfId="0" applyFont="1" applyFill="1" applyBorder="1"/>
    <xf numFmtId="0" fontId="20" fillId="2" borderId="12" xfId="0" applyFont="1" applyFill="1" applyBorder="1" applyAlignment="1">
      <alignment horizontal="left" vertical="center"/>
    </xf>
    <xf numFmtId="0" fontId="20" fillId="2" borderId="13" xfId="0" applyFont="1" applyFill="1" applyBorder="1" applyAlignment="1">
      <alignment horizontal="left" vertical="center"/>
    </xf>
    <xf numFmtId="0" fontId="20" fillId="2" borderId="13" xfId="0" applyFont="1" applyFill="1" applyBorder="1" applyAlignment="1">
      <alignment horizontal="left" vertical="center"/>
    </xf>
    <xf numFmtId="0" fontId="17" fillId="2" borderId="14" xfId="0" applyFont="1" applyFill="1" applyBorder="1"/>
    <xf numFmtId="0" fontId="3" fillId="2" borderId="0" xfId="0" applyFont="1" applyFill="1"/>
    <xf numFmtId="164" fontId="3" fillId="2" borderId="0" xfId="0" applyNumberFormat="1" applyFont="1" applyFill="1"/>
    <xf numFmtId="0" fontId="2" fillId="2" borderId="0" xfId="0" applyFont="1" applyFill="1"/>
    <xf numFmtId="164" fontId="3" fillId="2" borderId="0" xfId="1" applyFont="1" applyFill="1"/>
    <xf numFmtId="44" fontId="3" fillId="2" borderId="0" xfId="0" applyNumberFormat="1" applyFont="1" applyFill="1"/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/>
    </xf>
    <xf numFmtId="0" fontId="22" fillId="2" borderId="0" xfId="0" applyFont="1" applyFill="1" applyAlignment="1">
      <alignment horizontal="left" wrapText="1"/>
    </xf>
    <xf numFmtId="44" fontId="2" fillId="2" borderId="0" xfId="0" applyNumberFormat="1" applyFont="1" applyFill="1"/>
    <xf numFmtId="164" fontId="2" fillId="2" borderId="0" xfId="0" applyNumberFormat="1" applyFont="1" applyFill="1"/>
    <xf numFmtId="0" fontId="2" fillId="2" borderId="0" xfId="0" applyFont="1" applyFill="1" applyAlignment="1"/>
    <xf numFmtId="164" fontId="2" fillId="2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164" fontId="7" fillId="0" borderId="1" xfId="0" applyNumberFormat="1" applyFont="1" applyBorder="1"/>
    <xf numFmtId="10" fontId="7" fillId="0" borderId="1" xfId="0" applyNumberFormat="1" applyFont="1" applyBorder="1"/>
    <xf numFmtId="0" fontId="19" fillId="0" borderId="1" xfId="0" applyFont="1" applyBorder="1" applyAlignment="1">
      <alignment horizontal="center" vertical="center"/>
    </xf>
    <xf numFmtId="1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1" fontId="19" fillId="0" borderId="1" xfId="0" applyNumberFormat="1" applyFont="1" applyBorder="1" applyAlignment="1">
      <alignment vertical="center"/>
    </xf>
    <xf numFmtId="164" fontId="23" fillId="2" borderId="0" xfId="1" applyFont="1" applyFill="1"/>
    <xf numFmtId="0" fontId="23" fillId="2" borderId="0" xfId="0" applyFont="1" applyFill="1"/>
    <xf numFmtId="0" fontId="23" fillId="2" borderId="0" xfId="0" applyNumberFormat="1" applyFont="1" applyFill="1"/>
    <xf numFmtId="164" fontId="23" fillId="0" borderId="0" xfId="1" applyFont="1" applyFill="1"/>
    <xf numFmtId="0" fontId="23" fillId="0" borderId="0" xfId="0" applyFont="1" applyFill="1"/>
    <xf numFmtId="0" fontId="23" fillId="0" borderId="0" xfId="0" applyNumberFormat="1" applyFont="1" applyFill="1"/>
    <xf numFmtId="0" fontId="23" fillId="0" borderId="0" xfId="1" applyNumberFormat="1" applyFont="1" applyFill="1"/>
    <xf numFmtId="164" fontId="10" fillId="2" borderId="1" xfId="1" applyFont="1" applyFill="1" applyBorder="1"/>
    <xf numFmtId="0" fontId="10" fillId="2" borderId="1" xfId="0" applyFont="1" applyFill="1" applyBorder="1" applyAlignment="1">
      <alignment vertical="center"/>
    </xf>
    <xf numFmtId="0" fontId="24" fillId="8" borderId="1" xfId="1" applyNumberFormat="1" applyFont="1" applyFill="1" applyBorder="1" applyAlignment="1">
      <alignment horizontal="center" vertical="center" textRotation="90"/>
    </xf>
    <xf numFmtId="0" fontId="10" fillId="2" borderId="1" xfId="1" applyNumberFormat="1" applyFont="1" applyFill="1" applyBorder="1"/>
    <xf numFmtId="164" fontId="0" fillId="0" borderId="0" xfId="1" applyFont="1"/>
    <xf numFmtId="0" fontId="24" fillId="9" borderId="1" xfId="1" applyNumberFormat="1" applyFont="1" applyFill="1" applyBorder="1" applyAlignment="1">
      <alignment horizontal="center" vertical="center" textRotation="90"/>
    </xf>
    <xf numFmtId="0" fontId="24" fillId="8" borderId="1" xfId="1" applyNumberFormat="1" applyFont="1" applyFill="1" applyBorder="1" applyAlignment="1">
      <alignment horizontal="center" vertical="center" textRotation="90" wrapText="1"/>
    </xf>
    <xf numFmtId="1" fontId="9" fillId="10" borderId="1" xfId="0" applyNumberFormat="1" applyFont="1" applyFill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right"/>
    </xf>
    <xf numFmtId="1" fontId="10" fillId="11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10" borderId="1" xfId="0" applyFont="1" applyFill="1" applyBorder="1"/>
    <xf numFmtId="0" fontId="9" fillId="10" borderId="1" xfId="0" applyFont="1" applyFill="1" applyBorder="1" applyAlignment="1">
      <alignment horizontal="center"/>
    </xf>
    <xf numFmtId="0" fontId="10" fillId="11" borderId="1" xfId="0" applyNumberFormat="1" applyFont="1" applyFill="1" applyBorder="1" applyAlignment="1">
      <alignment horizontal="center" vertical="center" wrapText="1"/>
    </xf>
    <xf numFmtId="164" fontId="14" fillId="0" borderId="0" xfId="1" applyFont="1" applyAlignment="1">
      <alignment horizontal="center"/>
    </xf>
    <xf numFmtId="0" fontId="9" fillId="11" borderId="1" xfId="0" applyNumberFormat="1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4" fontId="9" fillId="11" borderId="1" xfId="1" applyFont="1" applyFill="1" applyBorder="1" applyAlignment="1">
      <alignment horizontal="center" vertical="center" wrapText="1"/>
    </xf>
    <xf numFmtId="0" fontId="9" fillId="2" borderId="0" xfId="0" applyNumberFormat="1" applyFont="1" applyFill="1" applyAlignment="1">
      <alignment horizontal="center"/>
    </xf>
    <xf numFmtId="1" fontId="0" fillId="0" borderId="1" xfId="0" applyNumberFormat="1" applyBorder="1"/>
    <xf numFmtId="1" fontId="8" fillId="0" borderId="1" xfId="0" applyNumberFormat="1" applyFont="1" applyBorder="1"/>
    <xf numFmtId="164" fontId="8" fillId="0" borderId="1" xfId="1" applyFont="1" applyBorder="1"/>
    <xf numFmtId="0" fontId="6" fillId="2" borderId="1" xfId="1" applyNumberFormat="1" applyFont="1" applyFill="1" applyBorder="1" applyAlignment="1">
      <alignment horizontal="left" vertical="center"/>
    </xf>
    <xf numFmtId="0" fontId="25" fillId="0" borderId="1" xfId="0" applyFont="1" applyBorder="1"/>
    <xf numFmtId="0" fontId="25" fillId="12" borderId="1" xfId="0" applyFont="1" applyFill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/>
    </xf>
    <xf numFmtId="0" fontId="25" fillId="10" borderId="1" xfId="0" applyFont="1" applyFill="1" applyBorder="1" applyAlignment="1">
      <alignment horizontal="center" vertical="center" wrapText="1"/>
    </xf>
    <xf numFmtId="0" fontId="14" fillId="13" borderId="1" xfId="0" applyFont="1" applyFill="1" applyBorder="1" applyAlignment="1">
      <alignment horizontal="center" vertical="center"/>
    </xf>
    <xf numFmtId="164" fontId="6" fillId="0" borderId="1" xfId="1" applyFont="1" applyBorder="1"/>
    <xf numFmtId="0" fontId="6" fillId="2" borderId="1" xfId="1" applyNumberFormat="1" applyFont="1" applyFill="1" applyBorder="1"/>
    <xf numFmtId="0" fontId="6" fillId="2" borderId="1" xfId="0" applyFont="1" applyFill="1" applyBorder="1"/>
    <xf numFmtId="164" fontId="6" fillId="2" borderId="1" xfId="2" applyNumberFormat="1" applyFont="1" applyFill="1" applyBorder="1"/>
    <xf numFmtId="0" fontId="10" fillId="0" borderId="1" xfId="0" applyFont="1" applyBorder="1" applyAlignment="1">
      <alignment horizontal="center"/>
    </xf>
    <xf numFmtId="0" fontId="9" fillId="14" borderId="1" xfId="0" applyFont="1" applyFill="1" applyBorder="1"/>
    <xf numFmtId="0" fontId="5" fillId="10" borderId="1" xfId="1" applyNumberFormat="1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1" xfId="1" applyNumberFormat="1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0" fontId="5" fillId="0" borderId="0" xfId="0" applyFont="1" applyAlignment="1"/>
    <xf numFmtId="0" fontId="5" fillId="13" borderId="1" xfId="0" applyFont="1" applyFill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10" fillId="0" borderId="6" xfId="0" applyFont="1" applyBorder="1"/>
    <xf numFmtId="165" fontId="9" fillId="2" borderId="14" xfId="0" applyNumberFormat="1" applyFont="1" applyFill="1" applyBorder="1" applyAlignment="1">
      <alignment horizontal="center"/>
    </xf>
    <xf numFmtId="165" fontId="9" fillId="2" borderId="13" xfId="0" applyNumberFormat="1" applyFont="1" applyFill="1" applyBorder="1" applyAlignment="1">
      <alignment horizontal="center"/>
    </xf>
    <xf numFmtId="165" fontId="9" fillId="2" borderId="12" xfId="0" applyNumberFormat="1" applyFont="1" applyFill="1" applyBorder="1" applyAlignment="1">
      <alignment horizontal="center"/>
    </xf>
    <xf numFmtId="0" fontId="9" fillId="2" borderId="13" xfId="0" applyFont="1" applyFill="1" applyBorder="1"/>
    <xf numFmtId="0" fontId="9" fillId="2" borderId="13" xfId="0" applyFont="1" applyFill="1" applyBorder="1" applyAlignment="1">
      <alignment horizontal="left"/>
    </xf>
    <xf numFmtId="0" fontId="9" fillId="2" borderId="12" xfId="0" applyFont="1" applyFill="1" applyBorder="1"/>
    <xf numFmtId="0" fontId="0" fillId="0" borderId="0" xfId="0" applyBorder="1"/>
    <xf numFmtId="0" fontId="0" fillId="0" borderId="0" xfId="0" applyFill="1" applyBorder="1"/>
    <xf numFmtId="165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10" fillId="2" borderId="4" xfId="0" applyFont="1" applyFill="1" applyBorder="1"/>
    <xf numFmtId="0" fontId="10" fillId="2" borderId="0" xfId="0" applyFont="1" applyFill="1" applyBorder="1"/>
    <xf numFmtId="165" fontId="10" fillId="2" borderId="0" xfId="0" applyNumberFormat="1" applyFont="1" applyFill="1" applyBorder="1"/>
    <xf numFmtId="0" fontId="9" fillId="2" borderId="12" xfId="0" applyFont="1" applyFill="1" applyBorder="1" applyAlignment="1">
      <alignment horizontal="center"/>
    </xf>
    <xf numFmtId="0" fontId="10" fillId="2" borderId="10" xfId="0" applyFont="1" applyFill="1" applyBorder="1"/>
    <xf numFmtId="0" fontId="10" fillId="2" borderId="10" xfId="0" applyFont="1" applyFill="1" applyBorder="1" applyAlignment="1">
      <alignment horizontal="left"/>
    </xf>
    <xf numFmtId="0" fontId="9" fillId="2" borderId="0" xfId="0" applyFont="1" applyFill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0" fillId="0" borderId="0" xfId="0" applyFont="1"/>
    <xf numFmtId="0" fontId="28" fillId="0" borderId="0" xfId="0" applyFont="1"/>
    <xf numFmtId="9" fontId="28" fillId="0" borderId="0" xfId="0" applyNumberFormat="1" applyFont="1"/>
    <xf numFmtId="164" fontId="6" fillId="2" borderId="1" xfId="1" applyFont="1" applyFill="1" applyBorder="1"/>
    <xf numFmtId="164" fontId="29" fillId="16" borderId="1" xfId="1" applyFont="1" applyFill="1" applyBorder="1" applyAlignment="1">
      <alignment vertical="center" wrapText="1"/>
    </xf>
    <xf numFmtId="10" fontId="30" fillId="2" borderId="1" xfId="2" applyNumberFormat="1" applyFont="1" applyFill="1" applyBorder="1" applyAlignment="1">
      <alignment vertical="center" wrapText="1"/>
    </xf>
    <xf numFmtId="164" fontId="30" fillId="2" borderId="1" xfId="2" applyNumberFormat="1" applyFont="1" applyFill="1" applyBorder="1" applyAlignment="1">
      <alignment vertical="center" wrapText="1"/>
    </xf>
    <xf numFmtId="164" fontId="30" fillId="2" borderId="1" xfId="1" applyFont="1" applyFill="1" applyBorder="1" applyAlignment="1">
      <alignment vertical="center" wrapText="1"/>
    </xf>
    <xf numFmtId="0" fontId="30" fillId="2" borderId="1" xfId="0" applyFont="1" applyFill="1" applyBorder="1" applyAlignment="1">
      <alignment vertical="center" wrapText="1"/>
    </xf>
    <xf numFmtId="0" fontId="30" fillId="2" borderId="1" xfId="1" applyNumberFormat="1" applyFont="1" applyFill="1" applyBorder="1" applyAlignment="1">
      <alignment horizontal="center" vertical="center" wrapText="1"/>
    </xf>
    <xf numFmtId="0" fontId="0" fillId="0" borderId="0" xfId="1" applyNumberFormat="1" applyFont="1"/>
    <xf numFmtId="164" fontId="0" fillId="0" borderId="0" xfId="1" applyFont="1" applyAlignment="1">
      <alignment horizontal="center"/>
    </xf>
    <xf numFmtId="164" fontId="8" fillId="0" borderId="2" xfId="1" applyFont="1" applyBorder="1"/>
    <xf numFmtId="164" fontId="29" fillId="12" borderId="1" xfId="1" applyFont="1" applyFill="1" applyBorder="1" applyAlignment="1">
      <alignment vertical="center" wrapText="1"/>
    </xf>
    <xf numFmtId="164" fontId="14" fillId="0" borderId="2" xfId="1" applyFont="1" applyBorder="1"/>
    <xf numFmtId="164" fontId="14" fillId="0" borderId="1" xfId="1" applyFont="1" applyBorder="1" applyAlignment="1">
      <alignment horizontal="center"/>
    </xf>
    <xf numFmtId="9" fontId="8" fillId="0" borderId="1" xfId="1" applyNumberFormat="1" applyFont="1" applyBorder="1" applyAlignment="1"/>
    <xf numFmtId="164" fontId="14" fillId="19" borderId="3" xfId="1" applyFont="1" applyFill="1" applyBorder="1" applyAlignment="1">
      <alignment horizontal="center"/>
    </xf>
    <xf numFmtId="164" fontId="14" fillId="20" borderId="3" xfId="1" applyFont="1" applyFill="1" applyBorder="1" applyAlignment="1">
      <alignment horizontal="center"/>
    </xf>
    <xf numFmtId="164" fontId="14" fillId="5" borderId="3" xfId="1" applyFont="1" applyFill="1" applyBorder="1" applyAlignment="1">
      <alignment horizontal="center"/>
    </xf>
    <xf numFmtId="164" fontId="29" fillId="5" borderId="1" xfId="1" applyFont="1" applyFill="1" applyBorder="1" applyAlignment="1">
      <alignment vertical="center" wrapText="1"/>
    </xf>
    <xf numFmtId="9" fontId="14" fillId="0" borderId="1" xfId="1" applyNumberFormat="1" applyFont="1" applyBorder="1" applyAlignment="1"/>
    <xf numFmtId="164" fontId="14" fillId="0" borderId="14" xfId="1" applyFont="1" applyBorder="1" applyAlignment="1">
      <alignment horizontal="center" vertical="center" wrapText="1"/>
    </xf>
    <xf numFmtId="164" fontId="14" fillId="0" borderId="1" xfId="1" applyFont="1" applyBorder="1" applyAlignment="1"/>
    <xf numFmtId="164" fontId="14" fillId="0" borderId="9" xfId="1" applyFont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textRotation="90" wrapText="1"/>
    </xf>
    <xf numFmtId="164" fontId="5" fillId="14" borderId="1" xfId="1" applyFont="1" applyFill="1" applyBorder="1" applyAlignment="1">
      <alignment horizontal="center" vertical="center" textRotation="90" wrapText="1"/>
    </xf>
    <xf numFmtId="0" fontId="19" fillId="14" borderId="1" xfId="0" applyFont="1" applyFill="1" applyBorder="1" applyAlignment="1">
      <alignment horizontal="center" vertical="center" textRotation="90" wrapText="1"/>
    </xf>
    <xf numFmtId="164" fontId="19" fillId="14" borderId="1" xfId="1" applyFont="1" applyFill="1" applyBorder="1" applyAlignment="1">
      <alignment horizontal="center" vertical="center" textRotation="90" wrapText="1"/>
    </xf>
    <xf numFmtId="0" fontId="19" fillId="14" borderId="1" xfId="0" applyFont="1" applyFill="1" applyBorder="1" applyAlignment="1">
      <alignment horizontal="center" vertical="center" wrapText="1"/>
    </xf>
    <xf numFmtId="0" fontId="19" fillId="14" borderId="1" xfId="0" applyNumberFormat="1" applyFont="1" applyFill="1" applyBorder="1" applyAlignment="1">
      <alignment horizontal="center" vertical="center" wrapText="1"/>
    </xf>
    <xf numFmtId="0" fontId="14" fillId="21" borderId="1" xfId="0" applyNumberFormat="1" applyFont="1" applyFill="1" applyBorder="1" applyAlignment="1">
      <alignment horizontal="center" vertical="center" wrapText="1"/>
    </xf>
    <xf numFmtId="0" fontId="32" fillId="0" borderId="0" xfId="0" applyFont="1" applyFill="1"/>
    <xf numFmtId="0" fontId="31" fillId="0" borderId="0" xfId="0" applyFont="1" applyFill="1" applyBorder="1"/>
    <xf numFmtId="164" fontId="0" fillId="0" borderId="0" xfId="1" applyFont="1" applyFill="1"/>
    <xf numFmtId="164" fontId="18" fillId="0" borderId="0" xfId="1" applyFont="1" applyFill="1" applyBorder="1"/>
    <xf numFmtId="0" fontId="0" fillId="0" borderId="0" xfId="0" applyFont="1" applyFill="1"/>
    <xf numFmtId="0" fontId="0" fillId="0" borderId="0" xfId="0" applyFont="1" applyFill="1" applyBorder="1"/>
    <xf numFmtId="164" fontId="0" fillId="0" borderId="0" xfId="1" applyFont="1" applyFill="1" applyBorder="1"/>
    <xf numFmtId="164" fontId="14" fillId="0" borderId="1" xfId="1" applyFont="1" applyBorder="1"/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8" fillId="0" borderId="5" xfId="1" applyNumberFormat="1" applyFont="1" applyFill="1" applyBorder="1" applyAlignment="1">
      <alignment horizontal="center"/>
    </xf>
    <xf numFmtId="0" fontId="28" fillId="0" borderId="0" xfId="0" applyFont="1" applyFill="1"/>
    <xf numFmtId="164" fontId="28" fillId="0" borderId="0" xfId="1" applyFont="1" applyFill="1"/>
    <xf numFmtId="164" fontId="28" fillId="0" borderId="0" xfId="0" applyNumberFormat="1" applyFont="1" applyFill="1"/>
    <xf numFmtId="164" fontId="17" fillId="0" borderId="0" xfId="0" applyNumberFormat="1" applyFont="1" applyFill="1"/>
    <xf numFmtId="0" fontId="18" fillId="0" borderId="0" xfId="0" applyFont="1" applyFill="1" applyBorder="1"/>
    <xf numFmtId="0" fontId="23" fillId="0" borderId="0" xfId="0" applyFont="1" applyFill="1" applyBorder="1"/>
    <xf numFmtId="164" fontId="23" fillId="0" borderId="0" xfId="1" applyFont="1" applyFill="1" applyBorder="1"/>
    <xf numFmtId="164" fontId="0" fillId="0" borderId="0" xfId="1" applyFont="1" applyFill="1" applyAlignment="1">
      <alignment horizontal="center"/>
    </xf>
    <xf numFmtId="0" fontId="13" fillId="15" borderId="20" xfId="0" applyFont="1" applyFill="1" applyBorder="1" applyAlignment="1">
      <alignment vertical="center" wrapText="1"/>
    </xf>
    <xf numFmtId="0" fontId="13" fillId="15" borderId="1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18" borderId="1" xfId="0" applyFont="1" applyFill="1" applyBorder="1" applyAlignment="1">
      <alignment horizontal="center" vertical="center"/>
    </xf>
    <xf numFmtId="0" fontId="13" fillId="17" borderId="1" xfId="0" applyFont="1" applyFill="1" applyBorder="1" applyAlignment="1">
      <alignment horizontal="center" vertical="center"/>
    </xf>
  </cellXfs>
  <cellStyles count="4">
    <cellStyle name="Moneda" xfId="1" builtinId="4"/>
    <cellStyle name="Moneda 2" xfId="3" xr:uid="{00000000-0005-0000-0000-00002F000000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jpeg"/><Relationship Id="rId3" Type="http://schemas.openxmlformats.org/officeDocument/2006/relationships/image" Target="../media/image10.png"/><Relationship Id="rId7" Type="http://schemas.openxmlformats.org/officeDocument/2006/relationships/image" Target="../media/image14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4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9525</xdr:rowOff>
    </xdr:from>
    <xdr:ext cx="1138406" cy="509588"/>
    <xdr:pic>
      <xdr:nvPicPr>
        <xdr:cNvPr id="2" name="Imagen 1" descr="Resultado de imagen para RINOLLANTA">
          <a:extLst>
            <a:ext uri="{FF2B5EF4-FFF2-40B4-BE49-F238E27FC236}">
              <a16:creationId xmlns:a16="http://schemas.microsoft.com/office/drawing/2014/main" id="{536832E8-7E6A-40FE-B845-9402AF212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200025"/>
          <a:ext cx="1138406" cy="5095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11906</xdr:colOff>
      <xdr:row>13</xdr:row>
      <xdr:rowOff>11907</xdr:rowOff>
    </xdr:from>
    <xdr:ext cx="1138406" cy="514351"/>
    <xdr:pic>
      <xdr:nvPicPr>
        <xdr:cNvPr id="3" name="Imagen 2" descr="Resultado de imagen para RINOLLANTA">
          <a:extLst>
            <a:ext uri="{FF2B5EF4-FFF2-40B4-BE49-F238E27FC236}">
              <a16:creationId xmlns:a16="http://schemas.microsoft.com/office/drawing/2014/main" id="{B5134389-46DE-42A0-A8DB-D0F74041A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906" y="2488407"/>
          <a:ext cx="1138406" cy="5143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47624</xdr:rowOff>
    </xdr:from>
    <xdr:to>
      <xdr:col>11</xdr:col>
      <xdr:colOff>684760</xdr:colOff>
      <xdr:row>33</xdr:row>
      <xdr:rowOff>22603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C264B6-7F6B-4113-83E0-FC0EB3EC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8406" y="12870655"/>
          <a:ext cx="4101854" cy="4155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83344</xdr:colOff>
      <xdr:row>33</xdr:row>
      <xdr:rowOff>47625</xdr:rowOff>
    </xdr:from>
    <xdr:to>
      <xdr:col>13</xdr:col>
      <xdr:colOff>109348</xdr:colOff>
      <xdr:row>34</xdr:row>
      <xdr:rowOff>52387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A8236FC-3683-40A5-920B-E3C3320ED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27003375"/>
          <a:ext cx="4419411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19052</xdr:rowOff>
    </xdr:from>
    <xdr:to>
      <xdr:col>5</xdr:col>
      <xdr:colOff>1038226</xdr:colOff>
      <xdr:row>2</xdr:row>
      <xdr:rowOff>180975</xdr:rowOff>
    </xdr:to>
    <xdr:pic>
      <xdr:nvPicPr>
        <xdr:cNvPr id="2" name="Imagen 1" descr="Resultado de imagen para RINOLLANTA">
          <a:extLst>
            <a:ext uri="{FF2B5EF4-FFF2-40B4-BE49-F238E27FC236}">
              <a16:creationId xmlns:a16="http://schemas.microsoft.com/office/drawing/2014/main" id="{9FEE3714-9A09-495C-9957-1A703621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19052"/>
          <a:ext cx="1028701" cy="561973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28576</xdr:rowOff>
    </xdr:from>
    <xdr:ext cx="1043153" cy="761999"/>
    <xdr:pic>
      <xdr:nvPicPr>
        <xdr:cNvPr id="4" name="Imagen 3" descr="Resultado de imagen para RINOLLANTA">
          <a:extLst>
            <a:ext uri="{FF2B5EF4-FFF2-40B4-BE49-F238E27FC236}">
              <a16:creationId xmlns:a16="http://schemas.microsoft.com/office/drawing/2014/main" id="{A81131D4-4B3F-4794-A0F0-AEE6F7B54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2562226"/>
          <a:ext cx="1043153" cy="761999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6</xdr:row>
      <xdr:rowOff>19050</xdr:rowOff>
    </xdr:from>
    <xdr:to>
      <xdr:col>11</xdr:col>
      <xdr:colOff>457200</xdr:colOff>
      <xdr:row>7</xdr:row>
      <xdr:rowOff>19050</xdr:rowOff>
    </xdr:to>
    <xdr:pic>
      <xdr:nvPicPr>
        <xdr:cNvPr id="2" name="Imagen 7">
          <a:extLst>
            <a:ext uri="{FF2B5EF4-FFF2-40B4-BE49-F238E27FC236}">
              <a16:creationId xmlns:a16="http://schemas.microsoft.com/office/drawing/2014/main" id="{D0D0062B-5661-4D35-A5D3-10F79DDC7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781050"/>
          <a:ext cx="114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304800</xdr:colOff>
      <xdr:row>6</xdr:row>
      <xdr:rowOff>9525</xdr:rowOff>
    </xdr:from>
    <xdr:to>
      <xdr:col>10</xdr:col>
      <xdr:colOff>447675</xdr:colOff>
      <xdr:row>7</xdr:row>
      <xdr:rowOff>9525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DF5280A-E9C1-477A-8928-131FD1ECE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71525"/>
          <a:ext cx="14287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71439</xdr:colOff>
      <xdr:row>0</xdr:row>
      <xdr:rowOff>0</xdr:rowOff>
    </xdr:from>
    <xdr:ext cx="1161942" cy="483095"/>
    <xdr:pic>
      <xdr:nvPicPr>
        <xdr:cNvPr id="2" name="Imagen 1" descr="Resultado de imagen para RINOLLANTA">
          <a:extLst>
            <a:ext uri="{FF2B5EF4-FFF2-40B4-BE49-F238E27FC236}">
              <a16:creationId xmlns:a16="http://schemas.microsoft.com/office/drawing/2014/main" id="{778EF851-01EA-411A-A82D-611B109B7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9" y="0"/>
          <a:ext cx="1161942" cy="4830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101742</xdr:colOff>
      <xdr:row>11</xdr:row>
      <xdr:rowOff>39688</xdr:rowOff>
    </xdr:from>
    <xdr:to>
      <xdr:col>16</xdr:col>
      <xdr:colOff>653836</xdr:colOff>
      <xdr:row>11</xdr:row>
      <xdr:rowOff>401925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233472A-A928-46EA-B937-CB1592D2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93742" y="2135188"/>
          <a:ext cx="552094" cy="1526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48263</xdr:colOff>
      <xdr:row>11</xdr:row>
      <xdr:rowOff>73827</xdr:rowOff>
    </xdr:from>
    <xdr:to>
      <xdr:col>15</xdr:col>
      <xdr:colOff>1136802</xdr:colOff>
      <xdr:row>11</xdr:row>
      <xdr:rowOff>401249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00DF64E-8549-4969-9777-F90FC5BDA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8263" y="2169327"/>
          <a:ext cx="717064" cy="1178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30233</xdr:colOff>
      <xdr:row>11</xdr:row>
      <xdr:rowOff>49610</xdr:rowOff>
    </xdr:from>
    <xdr:to>
      <xdr:col>17</xdr:col>
      <xdr:colOff>965205</xdr:colOff>
      <xdr:row>11</xdr:row>
      <xdr:rowOff>357187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CDFF636-49F0-4914-B373-A623F5D66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4233" y="2145110"/>
          <a:ext cx="734947" cy="1456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108637</xdr:colOff>
      <xdr:row>11</xdr:row>
      <xdr:rowOff>16145</xdr:rowOff>
    </xdr:from>
    <xdr:to>
      <xdr:col>12</xdr:col>
      <xdr:colOff>718412</xdr:colOff>
      <xdr:row>11</xdr:row>
      <xdr:rowOff>450040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6875052-F1FF-4B3D-A8F8-05FE8ED9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2637" y="2111645"/>
          <a:ext cx="609775" cy="176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29765</xdr:colOff>
      <xdr:row>11</xdr:row>
      <xdr:rowOff>89298</xdr:rowOff>
    </xdr:from>
    <xdr:to>
      <xdr:col>14</xdr:col>
      <xdr:colOff>815027</xdr:colOff>
      <xdr:row>11</xdr:row>
      <xdr:rowOff>406796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EF62F43-FE09-4092-983E-064920698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97765" y="2184798"/>
          <a:ext cx="728112" cy="984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90136</xdr:colOff>
      <xdr:row>11</xdr:row>
      <xdr:rowOff>99779</xdr:rowOff>
    </xdr:from>
    <xdr:to>
      <xdr:col>13</xdr:col>
      <xdr:colOff>776528</xdr:colOff>
      <xdr:row>11</xdr:row>
      <xdr:rowOff>409172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F786D3B-7D7E-4759-BC6F-8F8E03EB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6136" y="2195279"/>
          <a:ext cx="667342" cy="90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20123</xdr:colOff>
      <xdr:row>11</xdr:row>
      <xdr:rowOff>73784</xdr:rowOff>
    </xdr:from>
    <xdr:to>
      <xdr:col>18</xdr:col>
      <xdr:colOff>936356</xdr:colOff>
      <xdr:row>11</xdr:row>
      <xdr:rowOff>342093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98D8EA92-B23C-4F30-803B-7E9468D5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36123" y="2169284"/>
          <a:ext cx="744783" cy="1159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10</xdr:col>
      <xdr:colOff>21688</xdr:colOff>
      <xdr:row>9</xdr:row>
      <xdr:rowOff>12460</xdr:rowOff>
    </xdr:from>
    <xdr:ext cx="1159278" cy="487506"/>
    <xdr:pic>
      <xdr:nvPicPr>
        <xdr:cNvPr id="9" name="Imagen 8" descr="Resultado de imagen para RINOLLANTA">
          <a:extLst>
            <a:ext uri="{FF2B5EF4-FFF2-40B4-BE49-F238E27FC236}">
              <a16:creationId xmlns:a16="http://schemas.microsoft.com/office/drawing/2014/main" id="{71D02262-19F7-4AB2-AA9B-ECA037384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1688" y="1726960"/>
          <a:ext cx="1159278" cy="4875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A0AEB-D0C6-4798-B9DC-7663B3DC7D1C}">
  <dimension ref="A1:J30"/>
  <sheetViews>
    <sheetView tabSelected="1" zoomScale="84" zoomScaleNormal="84" workbookViewId="0">
      <selection activeCell="O10" sqref="O10"/>
    </sheetView>
  </sheetViews>
  <sheetFormatPr baseColWidth="10" defaultRowHeight="15"/>
  <cols>
    <col min="1" max="1" width="3" style="14" customWidth="1"/>
    <col min="2" max="2" width="3.140625" style="14" customWidth="1"/>
    <col min="3" max="3" width="30.140625" style="14" customWidth="1"/>
    <col min="4" max="4" width="25.5703125" style="14" customWidth="1"/>
    <col min="5" max="5" width="13.85546875" style="14" bestFit="1" customWidth="1"/>
    <col min="6" max="8" width="11.42578125" style="14"/>
    <col min="9" max="9" width="12.85546875" style="14" bestFit="1" customWidth="1"/>
    <col min="10" max="16384" width="11.42578125" style="14"/>
  </cols>
  <sheetData>
    <row r="1" spans="1:9" ht="26.25" customHeight="1">
      <c r="A1" s="216" t="s">
        <v>271</v>
      </c>
      <c r="B1" s="216"/>
      <c r="C1" s="216"/>
      <c r="D1" s="216"/>
      <c r="E1" s="216"/>
      <c r="F1" s="216"/>
      <c r="G1" s="216"/>
      <c r="H1" s="216"/>
      <c r="I1" s="216"/>
    </row>
    <row r="2" spans="1:9">
      <c r="A2" s="215"/>
      <c r="B2" s="215"/>
      <c r="C2" s="215"/>
      <c r="D2" s="215"/>
      <c r="E2" s="215"/>
      <c r="F2" s="215"/>
      <c r="G2" s="215"/>
      <c r="H2" s="215"/>
      <c r="I2" s="215"/>
    </row>
    <row r="3" spans="1:9">
      <c r="A3" s="212" t="s">
        <v>25</v>
      </c>
      <c r="B3" s="212"/>
      <c r="C3" s="212"/>
      <c r="D3" s="212"/>
      <c r="E3" s="211">
        <v>2016</v>
      </c>
    </row>
    <row r="4" spans="1:9" ht="16.5" customHeight="1">
      <c r="A4" s="209" t="s">
        <v>0</v>
      </c>
      <c r="B4" s="209"/>
      <c r="C4" s="209"/>
      <c r="D4" s="209"/>
      <c r="E4" s="208">
        <f>E5+E11</f>
        <v>705991.79</v>
      </c>
      <c r="I4" s="2">
        <f>H5+H11</f>
        <v>1</v>
      </c>
    </row>
    <row r="5" spans="1:9" ht="16.5" customHeight="1">
      <c r="A5" s="199"/>
      <c r="B5" s="205" t="s">
        <v>1</v>
      </c>
      <c r="C5" s="205"/>
      <c r="D5" s="205"/>
      <c r="E5" s="207">
        <f>+E10+E9-E8+E7+E6</f>
        <v>554359.76</v>
      </c>
      <c r="G5" s="3"/>
      <c r="H5" s="3">
        <f>E5/E4</f>
        <v>0.78522125590157354</v>
      </c>
    </row>
    <row r="6" spans="1:9" ht="16.5" customHeight="1">
      <c r="A6" s="199"/>
      <c r="B6" s="199"/>
      <c r="C6" s="204" t="s">
        <v>2</v>
      </c>
      <c r="D6" s="204"/>
      <c r="E6" s="202">
        <v>34135.26</v>
      </c>
      <c r="G6" s="3">
        <f>E6/$E$5</f>
        <v>6.1576006166104119E-2</v>
      </c>
      <c r="H6" s="3"/>
    </row>
    <row r="7" spans="1:9">
      <c r="A7" s="199"/>
      <c r="B7" s="199"/>
      <c r="C7" s="204" t="s">
        <v>3</v>
      </c>
      <c r="D7" s="204"/>
      <c r="E7" s="202">
        <v>295603.34000000003</v>
      </c>
      <c r="G7" s="3">
        <f>E7/$E$5</f>
        <v>0.53323376141154266</v>
      </c>
      <c r="H7" s="3"/>
    </row>
    <row r="8" spans="1:9" ht="16.5" customHeight="1">
      <c r="A8" s="199"/>
      <c r="B8" s="199"/>
      <c r="C8" s="204" t="s">
        <v>4</v>
      </c>
      <c r="D8" s="204"/>
      <c r="E8" s="202">
        <v>29560.33</v>
      </c>
      <c r="G8" s="3">
        <f>-E8/$E$5</f>
        <v>-5.3323368925623317E-2</v>
      </c>
      <c r="H8" s="3"/>
    </row>
    <row r="9" spans="1:9" ht="16.5" customHeight="1">
      <c r="A9" s="199"/>
      <c r="B9" s="199"/>
      <c r="C9" s="204" t="s">
        <v>5</v>
      </c>
      <c r="D9" s="204"/>
      <c r="E9" s="202">
        <v>6140.48</v>
      </c>
      <c r="G9" s="3">
        <f>E9/$E$5</f>
        <v>1.1076705856139341E-2</v>
      </c>
      <c r="H9" s="3"/>
    </row>
    <row r="10" spans="1:9" ht="16.5" customHeight="1">
      <c r="A10" s="199"/>
      <c r="B10" s="199"/>
      <c r="C10" s="204" t="s">
        <v>6</v>
      </c>
      <c r="D10" s="204"/>
      <c r="E10" s="202">
        <v>248041.01</v>
      </c>
      <c r="G10" s="3">
        <f>E10/$E$5</f>
        <v>0.44743689549183729</v>
      </c>
      <c r="H10" s="3"/>
    </row>
    <row r="11" spans="1:9" ht="16.5" customHeight="1">
      <c r="A11" s="199"/>
      <c r="B11" s="205" t="s">
        <v>7</v>
      </c>
      <c r="C11" s="205"/>
      <c r="D11" s="205"/>
      <c r="E11" s="210">
        <f>+E12+E13+E14+E15+E16-E17</f>
        <v>151632.03</v>
      </c>
      <c r="G11" s="3"/>
      <c r="H11" s="3">
        <f>E11/E4</f>
        <v>0.2147787440984264</v>
      </c>
    </row>
    <row r="12" spans="1:9" ht="16.5" customHeight="1">
      <c r="A12" s="199"/>
      <c r="B12" s="199"/>
      <c r="C12" s="204" t="s">
        <v>8</v>
      </c>
      <c r="D12" s="204"/>
      <c r="E12" s="202">
        <v>60000</v>
      </c>
      <c r="G12" s="3">
        <f>E12/$E$11</f>
        <v>0.39569476185209684</v>
      </c>
    </row>
    <row r="13" spans="1:9" ht="16.5" customHeight="1">
      <c r="A13" s="199"/>
      <c r="B13" s="199"/>
      <c r="C13" s="204" t="s">
        <v>9</v>
      </c>
      <c r="D13" s="204"/>
      <c r="E13" s="202">
        <v>2079</v>
      </c>
      <c r="G13" s="3">
        <f>E13/$E$11</f>
        <v>1.3710823498175154E-2</v>
      </c>
    </row>
    <row r="14" spans="1:9">
      <c r="A14" s="199"/>
      <c r="B14" s="199"/>
      <c r="C14" s="204" t="s">
        <v>10</v>
      </c>
      <c r="D14" s="204"/>
      <c r="E14" s="202">
        <v>71153.649999999994</v>
      </c>
      <c r="G14" s="3">
        <f>E14/$E$11</f>
        <v>0.46925210986095744</v>
      </c>
    </row>
    <row r="15" spans="1:9" ht="16.5" customHeight="1">
      <c r="A15" s="199"/>
      <c r="B15" s="199"/>
      <c r="C15" s="204" t="s">
        <v>11</v>
      </c>
      <c r="D15" s="204"/>
      <c r="E15" s="202">
        <v>6222.32</v>
      </c>
      <c r="G15" s="3">
        <f>E15/$E$11</f>
        <v>4.1035657176125652E-2</v>
      </c>
    </row>
    <row r="16" spans="1:9">
      <c r="A16" s="199"/>
      <c r="B16" s="199"/>
      <c r="C16" s="204" t="s">
        <v>12</v>
      </c>
      <c r="D16" s="204"/>
      <c r="E16" s="202">
        <v>55200</v>
      </c>
      <c r="G16" s="3">
        <f>E16/$E$11</f>
        <v>0.36403918090392906</v>
      </c>
    </row>
    <row r="17" spans="1:10" ht="16.5" customHeight="1">
      <c r="A17" s="199"/>
      <c r="B17" s="199"/>
      <c r="C17" s="204" t="s">
        <v>13</v>
      </c>
      <c r="D17" s="204"/>
      <c r="E17" s="202">
        <v>43022.94</v>
      </c>
      <c r="G17" s="3">
        <f>-E17/$E$11</f>
        <v>-0.28373253329128417</v>
      </c>
    </row>
    <row r="18" spans="1:10" ht="16.5" customHeight="1">
      <c r="A18" s="209" t="s">
        <v>14</v>
      </c>
      <c r="B18" s="209"/>
      <c r="C18" s="209"/>
      <c r="D18" s="209"/>
      <c r="E18" s="208">
        <f>E19+E24</f>
        <v>292902.09999999998</v>
      </c>
      <c r="G18" s="3"/>
      <c r="H18" s="3"/>
      <c r="I18" s="3">
        <f>E18/E28</f>
        <v>0.41488032035046746</v>
      </c>
    </row>
    <row r="19" spans="1:10" ht="16.5" customHeight="1">
      <c r="A19" s="199"/>
      <c r="B19" s="205" t="s">
        <v>15</v>
      </c>
      <c r="C19" s="205"/>
      <c r="D19" s="205"/>
      <c r="E19" s="207">
        <f>+E20+E22+E23+E21</f>
        <v>292902.09999999998</v>
      </c>
      <c r="G19" s="3"/>
      <c r="H19" s="3">
        <f>E19/E18</f>
        <v>1</v>
      </c>
      <c r="I19" s="3"/>
    </row>
    <row r="20" spans="1:10">
      <c r="A20" s="199"/>
      <c r="B20" s="206" t="s">
        <v>16</v>
      </c>
      <c r="C20" s="206"/>
      <c r="D20" s="206"/>
      <c r="E20" s="202">
        <v>244315.21</v>
      </c>
      <c r="G20" s="3">
        <f>E20/$E$19</f>
        <v>0.83411901109619913</v>
      </c>
      <c r="H20" s="3"/>
      <c r="I20" s="3"/>
    </row>
    <row r="21" spans="1:10">
      <c r="A21" s="199"/>
      <c r="B21" s="204" t="s">
        <v>23</v>
      </c>
      <c r="C21" s="204"/>
      <c r="D21" s="204"/>
      <c r="E21" s="202">
        <v>45206.19</v>
      </c>
      <c r="G21" s="3">
        <f>E21/$E$19</f>
        <v>0.15433890709557904</v>
      </c>
      <c r="H21" s="3"/>
      <c r="I21" s="3"/>
    </row>
    <row r="22" spans="1:10" ht="16.5" customHeight="1">
      <c r="A22" s="199"/>
      <c r="B22" s="204" t="s">
        <v>17</v>
      </c>
      <c r="C22" s="204"/>
      <c r="D22" s="204"/>
      <c r="E22" s="202">
        <v>1694.57</v>
      </c>
      <c r="G22" s="3">
        <f>E22/$E$19</f>
        <v>5.7854484484747637E-3</v>
      </c>
      <c r="H22" s="3"/>
      <c r="I22" s="3"/>
    </row>
    <row r="23" spans="1:10" ht="16.5" customHeight="1">
      <c r="A23" s="199"/>
      <c r="B23" s="204" t="s">
        <v>18</v>
      </c>
      <c r="C23" s="204"/>
      <c r="D23" s="204"/>
      <c r="E23" s="202">
        <v>1686.13</v>
      </c>
      <c r="G23" s="3">
        <f>E23/$E$19</f>
        <v>5.7566333597471658E-3</v>
      </c>
      <c r="H23" s="3"/>
      <c r="I23" s="3"/>
    </row>
    <row r="24" spans="1:10" ht="16.5" customHeight="1">
      <c r="A24" s="199"/>
      <c r="B24" s="205" t="s">
        <v>19</v>
      </c>
      <c r="C24" s="205"/>
      <c r="D24" s="205"/>
      <c r="E24" s="199"/>
      <c r="G24" s="3"/>
      <c r="H24" s="3">
        <f>E24/E23</f>
        <v>0</v>
      </c>
      <c r="I24" s="3"/>
    </row>
    <row r="25" spans="1:10">
      <c r="A25" s="199"/>
      <c r="B25" s="204" t="s">
        <v>20</v>
      </c>
      <c r="C25" s="204"/>
      <c r="D25" s="204"/>
      <c r="E25" s="203"/>
      <c r="G25" s="3">
        <v>0</v>
      </c>
      <c r="I25" s="3"/>
    </row>
    <row r="26" spans="1:10" ht="16.5" customHeight="1">
      <c r="A26" s="201" t="s">
        <v>24</v>
      </c>
      <c r="B26" s="199"/>
      <c r="C26" s="201"/>
      <c r="D26" s="201"/>
      <c r="E26" s="199"/>
      <c r="G26" s="3"/>
      <c r="I26" s="3">
        <f>E27/E28</f>
        <v>0.58511967964953249</v>
      </c>
    </row>
    <row r="27" spans="1:10" ht="16.5" customHeight="1">
      <c r="A27" s="199"/>
      <c r="B27" s="201" t="s">
        <v>21</v>
      </c>
      <c r="C27" s="201"/>
      <c r="D27" s="201"/>
      <c r="E27" s="202">
        <v>413089.69</v>
      </c>
      <c r="G27" s="3">
        <v>10</v>
      </c>
    </row>
    <row r="28" spans="1:10" ht="16.5" customHeight="1">
      <c r="A28" s="201" t="s">
        <v>22</v>
      </c>
      <c r="B28" s="201"/>
      <c r="C28" s="201"/>
      <c r="D28" s="201"/>
      <c r="E28" s="200">
        <f>E27+E18</f>
        <v>705991.79</v>
      </c>
      <c r="G28" s="3"/>
      <c r="J28" s="2">
        <f>I26+I18</f>
        <v>1</v>
      </c>
    </row>
    <row r="29" spans="1:10">
      <c r="A29" s="199"/>
      <c r="B29" s="199"/>
      <c r="C29" s="199"/>
      <c r="D29" s="199"/>
      <c r="E29" s="199"/>
      <c r="G29" s="3"/>
    </row>
    <row r="30" spans="1:10">
      <c r="G30" s="3"/>
    </row>
  </sheetData>
  <mergeCells count="23">
    <mergeCell ref="C13:D13"/>
    <mergeCell ref="C14:D14"/>
    <mergeCell ref="A1:I1"/>
    <mergeCell ref="A2:I2"/>
    <mergeCell ref="C15:D15"/>
    <mergeCell ref="A3:D3"/>
    <mergeCell ref="B5:D5"/>
    <mergeCell ref="C6:D6"/>
    <mergeCell ref="C7:D7"/>
    <mergeCell ref="C8:D8"/>
    <mergeCell ref="C9:D9"/>
    <mergeCell ref="C10:D10"/>
    <mergeCell ref="B11:D11"/>
    <mergeCell ref="C12:D12"/>
    <mergeCell ref="B23:D23"/>
    <mergeCell ref="B24:D24"/>
    <mergeCell ref="B25:D25"/>
    <mergeCell ref="C16:D16"/>
    <mergeCell ref="C17:D17"/>
    <mergeCell ref="B19:D19"/>
    <mergeCell ref="B20:D20"/>
    <mergeCell ref="B21:D21"/>
    <mergeCell ref="B22:D2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F043-CEA6-4ABE-8DDA-2BA823B949D1}">
  <dimension ref="B1:I28"/>
  <sheetViews>
    <sheetView workbookViewId="0">
      <selection activeCell="H6" sqref="H6"/>
    </sheetView>
  </sheetViews>
  <sheetFormatPr baseColWidth="10" defaultRowHeight="12.75"/>
  <cols>
    <col min="1" max="1" width="11.42578125" style="5"/>
    <col min="2" max="2" width="39" style="5" bestFit="1" customWidth="1"/>
    <col min="3" max="3" width="19.140625" style="5" customWidth="1"/>
    <col min="4" max="4" width="19.7109375" style="5" customWidth="1"/>
    <col min="5" max="5" width="18.5703125" style="5" customWidth="1"/>
    <col min="6" max="6" width="15.7109375" style="5" bestFit="1" customWidth="1"/>
    <col min="7" max="8" width="11.42578125" style="5"/>
    <col min="9" max="9" width="39.5703125" style="5" bestFit="1" customWidth="1"/>
    <col min="10" max="16384" width="11.42578125" style="5"/>
  </cols>
  <sheetData>
    <row r="1" spans="2:9" ht="15.75">
      <c r="B1" s="161" t="s">
        <v>258</v>
      </c>
      <c r="C1" s="162"/>
      <c r="D1" s="162"/>
      <c r="E1" s="162"/>
      <c r="F1" s="163"/>
    </row>
    <row r="2" spans="2:9" ht="15.75">
      <c r="B2" s="164" t="s">
        <v>225</v>
      </c>
      <c r="C2" s="165"/>
      <c r="D2" s="165"/>
      <c r="E2" s="165"/>
      <c r="F2" s="166"/>
    </row>
    <row r="3" spans="2:9" ht="15.75">
      <c r="B3" s="164" t="s">
        <v>226</v>
      </c>
      <c r="C3" s="165"/>
      <c r="D3" s="165"/>
      <c r="E3" s="165"/>
      <c r="F3" s="166"/>
    </row>
    <row r="4" spans="2:9" ht="30.75" customHeight="1">
      <c r="B4" s="87" t="s">
        <v>168</v>
      </c>
      <c r="C4" s="87" t="s">
        <v>171</v>
      </c>
      <c r="D4" s="87" t="s">
        <v>172</v>
      </c>
      <c r="E4" s="87" t="s">
        <v>169</v>
      </c>
      <c r="F4" s="87" t="s">
        <v>170</v>
      </c>
    </row>
    <row r="5" spans="2:9" ht="15">
      <c r="B5" s="44" t="s">
        <v>51</v>
      </c>
      <c r="C5" s="45">
        <v>60</v>
      </c>
      <c r="D5" s="45">
        <v>24</v>
      </c>
      <c r="E5" s="88">
        <v>0.4</v>
      </c>
      <c r="F5" s="45" t="s">
        <v>164</v>
      </c>
    </row>
    <row r="6" spans="2:9" ht="15.75">
      <c r="B6" s="44" t="s">
        <v>52</v>
      </c>
      <c r="C6" s="45">
        <v>50</v>
      </c>
      <c r="D6" s="45">
        <v>13</v>
      </c>
      <c r="E6" s="88">
        <v>0.26</v>
      </c>
      <c r="F6" s="45" t="s">
        <v>164</v>
      </c>
      <c r="H6"/>
      <c r="I6"/>
    </row>
    <row r="7" spans="2:9" ht="15.75">
      <c r="B7" s="44" t="s">
        <v>53</v>
      </c>
      <c r="C7" s="45">
        <v>40</v>
      </c>
      <c r="D7" s="45">
        <v>33</v>
      </c>
      <c r="E7" s="88">
        <v>0.82499999999999996</v>
      </c>
      <c r="F7" s="45" t="s">
        <v>162</v>
      </c>
      <c r="H7"/>
      <c r="I7"/>
    </row>
    <row r="8" spans="2:9" ht="15.75">
      <c r="B8" s="44" t="s">
        <v>54</v>
      </c>
      <c r="C8" s="45">
        <v>30</v>
      </c>
      <c r="D8" s="45">
        <v>16</v>
      </c>
      <c r="E8" s="88">
        <v>0.53333333333333299</v>
      </c>
      <c r="F8" s="45" t="s">
        <v>163</v>
      </c>
      <c r="H8"/>
      <c r="I8"/>
    </row>
    <row r="9" spans="2:9" ht="15.75">
      <c r="B9" s="44" t="s">
        <v>55</v>
      </c>
      <c r="C9" s="45">
        <v>40</v>
      </c>
      <c r="D9" s="45">
        <v>28</v>
      </c>
      <c r="E9" s="88">
        <v>0.7</v>
      </c>
      <c r="F9" s="45" t="s">
        <v>163</v>
      </c>
      <c r="H9"/>
      <c r="I9"/>
    </row>
    <row r="10" spans="2:9" ht="15.75">
      <c r="B10" s="42" t="s">
        <v>224</v>
      </c>
      <c r="C10" s="42">
        <f>SUM(C5:C9)</f>
        <v>220</v>
      </c>
      <c r="D10" s="42">
        <f>SUM(D5:D9)</f>
        <v>114</v>
      </c>
      <c r="E10" s="86">
        <v>0.51819999999999999</v>
      </c>
      <c r="F10" s="42" t="s">
        <v>163</v>
      </c>
      <c r="H10"/>
      <c r="I10"/>
    </row>
    <row r="11" spans="2:9" ht="15">
      <c r="B11" s="83"/>
      <c r="C11" s="83"/>
      <c r="D11" s="83"/>
      <c r="E11" s="84"/>
      <c r="F11" s="83"/>
      <c r="H11"/>
      <c r="I11"/>
    </row>
    <row r="12" spans="2:9" ht="15.75">
      <c r="B12" s="161" t="s">
        <v>227</v>
      </c>
      <c r="C12" s="162"/>
      <c r="D12" s="162"/>
      <c r="E12" s="162"/>
      <c r="F12" s="163"/>
      <c r="H12"/>
      <c r="I12"/>
    </row>
    <row r="13" spans="2:9" ht="15.75">
      <c r="B13" s="164" t="s">
        <v>225</v>
      </c>
      <c r="C13" s="165"/>
      <c r="D13" s="165"/>
      <c r="E13" s="165"/>
      <c r="F13" s="166"/>
      <c r="H13"/>
      <c r="I13"/>
    </row>
    <row r="14" spans="2:9" ht="15.75">
      <c r="B14" s="164" t="s">
        <v>226</v>
      </c>
      <c r="C14" s="165"/>
      <c r="D14" s="165"/>
      <c r="E14" s="165"/>
      <c r="F14" s="166"/>
      <c r="H14"/>
      <c r="I14"/>
    </row>
    <row r="15" spans="2:9" ht="15.75">
      <c r="B15" s="158" t="s">
        <v>228</v>
      </c>
      <c r="C15" s="159"/>
      <c r="D15" s="159"/>
      <c r="E15" s="159"/>
      <c r="F15" s="160"/>
      <c r="H15"/>
      <c r="I15"/>
    </row>
    <row r="16" spans="2:9" ht="31.5">
      <c r="B16" s="85" t="s">
        <v>168</v>
      </c>
      <c r="C16" s="85" t="s">
        <v>171</v>
      </c>
      <c r="D16" s="85" t="s">
        <v>172</v>
      </c>
      <c r="E16" s="85" t="s">
        <v>169</v>
      </c>
      <c r="F16" s="85" t="s">
        <v>170</v>
      </c>
      <c r="H16"/>
      <c r="I16"/>
    </row>
    <row r="17" spans="2:9" ht="15.75">
      <c r="B17" s="44" t="s">
        <v>51</v>
      </c>
      <c r="C17" s="45">
        <v>50</v>
      </c>
      <c r="D17" s="45">
        <v>35</v>
      </c>
      <c r="E17" s="88">
        <v>0.7</v>
      </c>
      <c r="F17" s="45" t="s">
        <v>163</v>
      </c>
      <c r="H17"/>
      <c r="I17"/>
    </row>
    <row r="18" spans="2:9" ht="15.75">
      <c r="B18" s="44" t="s">
        <v>52</v>
      </c>
      <c r="C18" s="45">
        <v>50</v>
      </c>
      <c r="D18" s="45">
        <v>45</v>
      </c>
      <c r="E18" s="88">
        <v>0.9</v>
      </c>
      <c r="F18" s="45" t="s">
        <v>162</v>
      </c>
      <c r="H18"/>
      <c r="I18"/>
    </row>
    <row r="19" spans="2:9" ht="15.75">
      <c r="B19" s="44" t="s">
        <v>53</v>
      </c>
      <c r="C19" s="45">
        <v>80</v>
      </c>
      <c r="D19" s="45">
        <v>48</v>
      </c>
      <c r="E19" s="88">
        <v>0.6</v>
      </c>
      <c r="F19" s="45" t="s">
        <v>163</v>
      </c>
      <c r="H19"/>
      <c r="I19"/>
    </row>
    <row r="20" spans="2:9" ht="15.75">
      <c r="B20" s="44" t="s">
        <v>54</v>
      </c>
      <c r="C20" s="45">
        <v>70</v>
      </c>
      <c r="D20" s="45">
        <v>45</v>
      </c>
      <c r="E20" s="88">
        <v>0.64285714285714302</v>
      </c>
      <c r="F20" s="45" t="s">
        <v>163</v>
      </c>
      <c r="H20"/>
      <c r="I20"/>
    </row>
    <row r="21" spans="2:9" ht="15.75">
      <c r="B21" s="44" t="s">
        <v>55</v>
      </c>
      <c r="C21" s="45">
        <v>50</v>
      </c>
      <c r="D21" s="45">
        <v>34</v>
      </c>
      <c r="E21" s="88">
        <v>0.68</v>
      </c>
      <c r="F21" s="45" t="s">
        <v>163</v>
      </c>
      <c r="H21"/>
      <c r="I21"/>
    </row>
    <row r="22" spans="2:9" ht="15.75">
      <c r="B22" s="42" t="s">
        <v>224</v>
      </c>
      <c r="C22" s="42">
        <f>SUM(C17:C21)</f>
        <v>300</v>
      </c>
      <c r="D22" s="42">
        <f>SUM(D17:D21)</f>
        <v>207</v>
      </c>
      <c r="E22" s="86">
        <v>0.69</v>
      </c>
      <c r="F22" s="42" t="s">
        <v>163</v>
      </c>
      <c r="H22"/>
      <c r="I22"/>
    </row>
    <row r="23" spans="2:9" ht="15">
      <c r="B23"/>
      <c r="C23"/>
      <c r="D23"/>
      <c r="E23" s="32"/>
      <c r="F23"/>
      <c r="H23"/>
      <c r="I23"/>
    </row>
    <row r="24" spans="2:9" ht="15">
      <c r="H24"/>
      <c r="I24"/>
    </row>
    <row r="25" spans="2:9" ht="15">
      <c r="H25"/>
      <c r="I25"/>
    </row>
    <row r="26" spans="2:9" ht="15">
      <c r="H26"/>
      <c r="I26"/>
    </row>
    <row r="27" spans="2:9" ht="15">
      <c r="H27"/>
      <c r="I27"/>
    </row>
    <row r="28" spans="2:9" ht="15">
      <c r="H28"/>
      <c r="I28"/>
    </row>
  </sheetData>
  <mergeCells count="7">
    <mergeCell ref="B15:F15"/>
    <mergeCell ref="B12:F12"/>
    <mergeCell ref="B1:F1"/>
    <mergeCell ref="B2:F2"/>
    <mergeCell ref="B3:F3"/>
    <mergeCell ref="B13:F13"/>
    <mergeCell ref="B14:F14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E1DA3-FDFA-4EE9-B5B7-85DA4DF882AD}">
  <dimension ref="A1:L249"/>
  <sheetViews>
    <sheetView topLeftCell="B1" zoomScale="87" zoomScaleNormal="87" workbookViewId="0">
      <selection activeCell="H16" sqref="H16"/>
    </sheetView>
  </sheetViews>
  <sheetFormatPr baseColWidth="10" defaultRowHeight="15.75"/>
  <cols>
    <col min="1" max="1" width="7.140625" style="228" customWidth="1"/>
    <col min="2" max="2" width="13" style="228" customWidth="1"/>
    <col min="3" max="3" width="14.42578125" style="227" customWidth="1"/>
    <col min="4" max="4" width="29.42578125" style="227" customWidth="1"/>
    <col min="5" max="6" width="16.7109375" style="226" customWidth="1"/>
    <col min="7" max="7" width="19.140625" style="13" customWidth="1"/>
    <col min="8" max="8" width="46.140625" style="13" customWidth="1"/>
    <col min="9" max="9" width="15" style="13" customWidth="1"/>
    <col min="10" max="16384" width="11.42578125" style="13"/>
  </cols>
  <sheetData>
    <row r="1" spans="1:12">
      <c r="B1" s="252" t="s">
        <v>391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1:12">
      <c r="B2" s="252" t="s">
        <v>382</v>
      </c>
      <c r="C2" s="252"/>
      <c r="D2" s="252"/>
      <c r="E2" s="252"/>
      <c r="F2" s="252"/>
      <c r="G2" s="252"/>
      <c r="H2" s="252"/>
      <c r="I2" s="252"/>
      <c r="J2" s="252"/>
      <c r="K2" s="252"/>
      <c r="L2" s="252"/>
    </row>
    <row r="3" spans="1:12" ht="31.5">
      <c r="A3" s="247" t="s">
        <v>70</v>
      </c>
      <c r="B3" s="249" t="s">
        <v>390</v>
      </c>
      <c r="C3" s="250" t="s">
        <v>389</v>
      </c>
      <c r="D3" s="250" t="s">
        <v>77</v>
      </c>
      <c r="E3" s="251" t="s">
        <v>388</v>
      </c>
      <c r="F3" s="251" t="s">
        <v>387</v>
      </c>
    </row>
    <row r="4" spans="1:12" s="237" customFormat="1">
      <c r="A4" s="236">
        <v>1</v>
      </c>
      <c r="B4" s="239" t="s">
        <v>386</v>
      </c>
      <c r="C4" s="72">
        <v>2</v>
      </c>
      <c r="D4" s="234" t="s">
        <v>385</v>
      </c>
      <c r="E4" s="233">
        <f>F4-(F4*0.15)</f>
        <v>1550.893</v>
      </c>
      <c r="F4" s="233">
        <v>1824.58</v>
      </c>
    </row>
    <row r="5" spans="1:12" s="237" customFormat="1">
      <c r="A5" s="236">
        <v>2</v>
      </c>
      <c r="B5" s="239"/>
      <c r="C5" s="72">
        <v>4</v>
      </c>
      <c r="D5" s="234" t="s">
        <v>369</v>
      </c>
      <c r="E5" s="233">
        <f>F5-(F5*0.15)</f>
        <v>2982.5904999999998</v>
      </c>
      <c r="F5" s="233">
        <f>2285.72+1223.21</f>
        <v>3508.93</v>
      </c>
      <c r="H5" s="248" t="s">
        <v>384</v>
      </c>
      <c r="I5" s="248"/>
      <c r="J5" s="248"/>
      <c r="K5" s="248"/>
      <c r="L5" s="248"/>
    </row>
    <row r="6" spans="1:12" s="237" customFormat="1">
      <c r="A6" s="236">
        <v>3</v>
      </c>
      <c r="B6" s="239"/>
      <c r="C6" s="72">
        <v>4</v>
      </c>
      <c r="D6" s="234" t="s">
        <v>383</v>
      </c>
      <c r="E6" s="233">
        <f>F6-(F6*0.15)</f>
        <v>7285.7240000000002</v>
      </c>
      <c r="F6" s="233">
        <v>8571.44</v>
      </c>
    </row>
    <row r="7" spans="1:12" s="237" customFormat="1">
      <c r="A7" s="236">
        <v>4</v>
      </c>
      <c r="B7" s="239"/>
      <c r="C7" s="72">
        <v>6</v>
      </c>
      <c r="D7" s="234" t="s">
        <v>379</v>
      </c>
      <c r="E7" s="233">
        <f>F7-(F7*0.15)</f>
        <v>5905.2645000000002</v>
      </c>
      <c r="F7" s="233">
        <f>6947.37</f>
        <v>6947.37</v>
      </c>
      <c r="H7" s="122" t="s">
        <v>382</v>
      </c>
      <c r="I7" s="246" t="s">
        <v>232</v>
      </c>
      <c r="J7" s="246" t="s">
        <v>233</v>
      </c>
      <c r="K7" s="245"/>
      <c r="L7" s="245"/>
    </row>
    <row r="8" spans="1:12" s="237" customFormat="1">
      <c r="A8" s="236">
        <v>5</v>
      </c>
      <c r="B8" s="239"/>
      <c r="C8" s="72">
        <v>6</v>
      </c>
      <c r="D8" s="234" t="s">
        <v>381</v>
      </c>
      <c r="E8" s="233">
        <f>F8-(F8*0.15)</f>
        <v>4995.2460000000001</v>
      </c>
      <c r="F8" s="233">
        <v>5876.76</v>
      </c>
      <c r="H8" s="11" t="s">
        <v>380</v>
      </c>
      <c r="I8" s="241">
        <v>30</v>
      </c>
      <c r="J8" s="241">
        <v>122</v>
      </c>
      <c r="K8" s="244">
        <v>20</v>
      </c>
      <c r="L8" s="243">
        <f>I8*(K8/J8)</f>
        <v>4.9180327868852451</v>
      </c>
    </row>
    <row r="9" spans="1:12" s="237" customFormat="1">
      <c r="A9" s="236">
        <v>6</v>
      </c>
      <c r="B9" s="239"/>
      <c r="C9" s="72">
        <v>12</v>
      </c>
      <c r="D9" s="234" t="s">
        <v>379</v>
      </c>
      <c r="E9" s="233">
        <f>F9-(F9*0.15)</f>
        <v>8557.0689999999995</v>
      </c>
      <c r="F9" s="233">
        <v>10067.14</v>
      </c>
      <c r="H9" s="11" t="s">
        <v>378</v>
      </c>
      <c r="I9" s="241">
        <v>30</v>
      </c>
      <c r="J9" s="241">
        <v>122</v>
      </c>
      <c r="K9" s="244">
        <v>12</v>
      </c>
      <c r="L9" s="243">
        <f>I9*(K9/J9)</f>
        <v>2.9508196721311473</v>
      </c>
    </row>
    <row r="10" spans="1:12" s="237" customFormat="1">
      <c r="A10" s="236">
        <v>7</v>
      </c>
      <c r="B10" s="239"/>
      <c r="C10" s="72">
        <v>2</v>
      </c>
      <c r="D10" s="234" t="s">
        <v>377</v>
      </c>
      <c r="E10" s="233">
        <f>F10-(F10*0.15)</f>
        <v>1736.431</v>
      </c>
      <c r="F10" s="233">
        <v>2042.86</v>
      </c>
      <c r="H10" s="11" t="s">
        <v>376</v>
      </c>
      <c r="I10" s="241">
        <v>30</v>
      </c>
      <c r="J10" s="241">
        <v>122</v>
      </c>
      <c r="K10" s="244">
        <v>24</v>
      </c>
      <c r="L10" s="243">
        <f>I10*(K10/J10)</f>
        <v>5.9016393442622945</v>
      </c>
    </row>
    <row r="11" spans="1:12" s="237" customFormat="1">
      <c r="A11" s="236">
        <v>8</v>
      </c>
      <c r="B11" s="239"/>
      <c r="C11" s="72">
        <v>2</v>
      </c>
      <c r="D11" s="234" t="s">
        <v>375</v>
      </c>
      <c r="E11" s="233">
        <f>F11-(F11*0.15)</f>
        <v>1244.6465000000001</v>
      </c>
      <c r="F11" s="233">
        <v>1464.29</v>
      </c>
      <c r="H11" s="11" t="s">
        <v>374</v>
      </c>
      <c r="I11" s="241">
        <v>30</v>
      </c>
      <c r="J11" s="241">
        <v>122</v>
      </c>
      <c r="K11" s="244">
        <v>42</v>
      </c>
      <c r="L11" s="243">
        <f>I11*(K11/J11)</f>
        <v>10.327868852459016</v>
      </c>
    </row>
    <row r="12" spans="1:12" s="237" customFormat="1">
      <c r="A12" s="236">
        <v>9</v>
      </c>
      <c r="B12" s="239"/>
      <c r="C12" s="72">
        <v>2</v>
      </c>
      <c r="D12" s="234" t="s">
        <v>368</v>
      </c>
      <c r="E12" s="233">
        <f>F12-(F12*0.15)</f>
        <v>1220.26</v>
      </c>
      <c r="F12" s="233">
        <v>1435.6</v>
      </c>
      <c r="H12" s="11" t="s">
        <v>373</v>
      </c>
      <c r="I12" s="241">
        <v>30</v>
      </c>
      <c r="J12" s="241">
        <v>122</v>
      </c>
      <c r="K12" s="244">
        <v>24</v>
      </c>
      <c r="L12" s="243">
        <f>I12*(K12/J12)</f>
        <v>5.9016393442622945</v>
      </c>
    </row>
    <row r="13" spans="1:12" s="237" customFormat="1">
      <c r="A13" s="236">
        <v>10</v>
      </c>
      <c r="B13" s="239"/>
      <c r="C13" s="72">
        <v>4</v>
      </c>
      <c r="D13" s="234" t="s">
        <v>372</v>
      </c>
      <c r="E13" s="233">
        <f>F13-(F13*0.15)</f>
        <v>2432.4365000000003</v>
      </c>
      <c r="F13" s="233">
        <f>1339.29+1522.4</f>
        <v>2861.69</v>
      </c>
      <c r="H13" s="242" t="s">
        <v>74</v>
      </c>
      <c r="I13" s="241"/>
      <c r="J13" s="241"/>
      <c r="K13" s="241"/>
      <c r="L13" s="240">
        <f>SUM(L8:L12)</f>
        <v>30</v>
      </c>
    </row>
    <row r="14" spans="1:12" s="237" customFormat="1">
      <c r="A14" s="236">
        <v>11</v>
      </c>
      <c r="B14" s="239"/>
      <c r="C14" s="72">
        <v>2</v>
      </c>
      <c r="D14" s="234" t="s">
        <v>371</v>
      </c>
      <c r="E14" s="233">
        <f>F14-(F14*0.15)</f>
        <v>1092.8620000000001</v>
      </c>
      <c r="F14" s="233">
        <v>1285.72</v>
      </c>
    </row>
    <row r="15" spans="1:12" s="237" customFormat="1">
      <c r="A15" s="236">
        <v>12</v>
      </c>
      <c r="B15" s="239"/>
      <c r="C15" s="72">
        <v>2</v>
      </c>
      <c r="D15" s="234" t="s">
        <v>370</v>
      </c>
      <c r="E15" s="233">
        <f>F15-(F15*0.15)</f>
        <v>1105</v>
      </c>
      <c r="F15" s="233">
        <v>1300</v>
      </c>
    </row>
    <row r="16" spans="1:12" s="237" customFormat="1">
      <c r="A16" s="236">
        <v>13</v>
      </c>
      <c r="B16" s="239"/>
      <c r="C16" s="72">
        <v>2</v>
      </c>
      <c r="D16" s="234" t="s">
        <v>369</v>
      </c>
      <c r="E16" s="233">
        <f>F16-(F16*0.15)</f>
        <v>1020</v>
      </c>
      <c r="F16" s="233">
        <v>1200</v>
      </c>
    </row>
    <row r="17" spans="1:9">
      <c r="A17" s="236">
        <v>14</v>
      </c>
      <c r="B17" s="239"/>
      <c r="C17" s="72">
        <v>2</v>
      </c>
      <c r="D17" s="234" t="s">
        <v>369</v>
      </c>
      <c r="E17" s="233">
        <f>F17-(F17*0.15)</f>
        <v>1290.181</v>
      </c>
      <c r="F17" s="233">
        <v>1517.86</v>
      </c>
    </row>
    <row r="18" spans="1:9" s="237" customFormat="1">
      <c r="A18" s="236">
        <v>15</v>
      </c>
      <c r="B18" s="239"/>
      <c r="C18" s="72">
        <v>2</v>
      </c>
      <c r="D18" s="234" t="s">
        <v>368</v>
      </c>
      <c r="E18" s="233">
        <f>F18-(F18*0.15)</f>
        <v>1190</v>
      </c>
      <c r="F18" s="233">
        <v>1400</v>
      </c>
      <c r="G18" s="13"/>
      <c r="H18" s="13"/>
      <c r="I18" s="13"/>
    </row>
    <row r="19" spans="1:9" s="237" customFormat="1">
      <c r="A19" s="236">
        <v>16</v>
      </c>
      <c r="B19" s="239"/>
      <c r="C19" s="72">
        <v>2</v>
      </c>
      <c r="D19" s="234" t="s">
        <v>367</v>
      </c>
      <c r="E19" s="233">
        <f>F19-(F19*0.15)</f>
        <v>1649</v>
      </c>
      <c r="F19" s="233">
        <v>1940</v>
      </c>
      <c r="G19" s="13"/>
      <c r="H19" s="13"/>
      <c r="I19" s="13"/>
    </row>
    <row r="20" spans="1:9" s="237" customFormat="1">
      <c r="A20" s="236">
        <v>17</v>
      </c>
      <c r="B20" s="239"/>
      <c r="C20" s="72">
        <v>4</v>
      </c>
      <c r="D20" s="234" t="s">
        <v>366</v>
      </c>
      <c r="E20" s="233">
        <f>F20-(F20*0.15)</f>
        <v>2666.3140000000003</v>
      </c>
      <c r="F20" s="233">
        <v>3136.84</v>
      </c>
      <c r="G20" s="13"/>
      <c r="H20" s="13"/>
      <c r="I20" s="13"/>
    </row>
    <row r="21" spans="1:9" s="237" customFormat="1">
      <c r="A21" s="236">
        <v>18</v>
      </c>
      <c r="B21" s="239"/>
      <c r="C21" s="72">
        <v>2</v>
      </c>
      <c r="D21" s="234" t="s">
        <v>365</v>
      </c>
      <c r="E21" s="233">
        <f>F21-(F21*0.15)</f>
        <v>1441.9655</v>
      </c>
      <c r="F21" s="233">
        <v>1696.43</v>
      </c>
      <c r="G21" s="13"/>
      <c r="H21" s="13"/>
      <c r="I21" s="13"/>
    </row>
    <row r="22" spans="1:9" s="237" customFormat="1">
      <c r="A22" s="236">
        <v>19</v>
      </c>
      <c r="B22" s="239"/>
      <c r="C22" s="72">
        <v>10</v>
      </c>
      <c r="D22" s="234" t="s">
        <v>364</v>
      </c>
      <c r="E22" s="233">
        <f>F22-(F22*0.15)</f>
        <v>7951.3590000000004</v>
      </c>
      <c r="F22" s="233">
        <f>2105.26+7249.28</f>
        <v>9354.5400000000009</v>
      </c>
      <c r="G22" s="13"/>
      <c r="H22" s="13"/>
      <c r="I22" s="13"/>
    </row>
    <row r="23" spans="1:9" s="237" customFormat="1">
      <c r="A23" s="236">
        <v>20</v>
      </c>
      <c r="B23" s="239"/>
      <c r="C23" s="72">
        <v>12</v>
      </c>
      <c r="D23" s="234" t="s">
        <v>363</v>
      </c>
      <c r="E23" s="233">
        <f>F23-(F23*0.15)</f>
        <v>6283.9309999999996</v>
      </c>
      <c r="F23" s="233">
        <v>7392.86</v>
      </c>
      <c r="G23" s="13"/>
      <c r="H23" s="13"/>
      <c r="I23" s="13"/>
    </row>
    <row r="24" spans="1:9" s="237" customFormat="1">
      <c r="A24" s="236">
        <v>21</v>
      </c>
      <c r="B24" s="238" t="s">
        <v>362</v>
      </c>
      <c r="C24" s="72">
        <v>45</v>
      </c>
      <c r="D24" s="234" t="s">
        <v>361</v>
      </c>
      <c r="E24" s="233">
        <f>F24-(F24*0.15)</f>
        <v>15538.195499999996</v>
      </c>
      <c r="F24" s="233">
        <f>12293.22+4797.73+1189.28</f>
        <v>18280.229999999996</v>
      </c>
      <c r="G24" s="13"/>
      <c r="H24" s="13"/>
      <c r="I24" s="13"/>
    </row>
    <row r="25" spans="1:9" s="237" customFormat="1">
      <c r="A25" s="236">
        <v>22</v>
      </c>
      <c r="B25" s="238"/>
      <c r="C25" s="72">
        <v>27</v>
      </c>
      <c r="D25" s="234" t="s">
        <v>360</v>
      </c>
      <c r="E25" s="233">
        <f>F25-(F25*0.15)</f>
        <v>7552.0035000000007</v>
      </c>
      <c r="F25" s="233">
        <f>1993.73+5369.05+1521.93</f>
        <v>8884.7100000000009</v>
      </c>
      <c r="G25" s="13"/>
      <c r="H25" s="13"/>
      <c r="I25" s="13"/>
    </row>
    <row r="26" spans="1:9" s="237" customFormat="1">
      <c r="A26" s="236">
        <v>23</v>
      </c>
      <c r="B26" s="238"/>
      <c r="C26" s="72">
        <v>23</v>
      </c>
      <c r="D26" s="234" t="s">
        <v>353</v>
      </c>
      <c r="E26" s="233">
        <f>F26-(F26*0.15)</f>
        <v>1485.1795</v>
      </c>
      <c r="F26" s="233">
        <f>1472.27+275</f>
        <v>1747.27</v>
      </c>
      <c r="G26" s="13"/>
      <c r="H26" s="13"/>
      <c r="I26" s="13"/>
    </row>
    <row r="27" spans="1:9" s="237" customFormat="1">
      <c r="A27" s="236">
        <v>24</v>
      </c>
      <c r="B27" s="238"/>
      <c r="C27" s="72">
        <v>20</v>
      </c>
      <c r="D27" s="234" t="s">
        <v>359</v>
      </c>
      <c r="E27" s="233">
        <f>F27-(F27*0.15)</f>
        <v>1214.31</v>
      </c>
      <c r="F27" s="233">
        <v>1428.6</v>
      </c>
      <c r="G27" s="13"/>
      <c r="H27" s="13"/>
      <c r="I27" s="13"/>
    </row>
    <row r="28" spans="1:9" s="237" customFormat="1">
      <c r="A28" s="236">
        <v>25</v>
      </c>
      <c r="B28" s="238"/>
      <c r="C28" s="72">
        <v>34</v>
      </c>
      <c r="D28" s="234" t="s">
        <v>358</v>
      </c>
      <c r="E28" s="233">
        <f>F28-(F28*0.15)</f>
        <v>1345.6605000000002</v>
      </c>
      <c r="F28" s="233">
        <f>350.05+835.89+397.19</f>
        <v>1583.13</v>
      </c>
      <c r="G28" s="13"/>
      <c r="H28" s="13"/>
      <c r="I28" s="13"/>
    </row>
    <row r="29" spans="1:9" s="237" customFormat="1">
      <c r="A29" s="236">
        <v>26</v>
      </c>
      <c r="B29" s="238"/>
      <c r="C29" s="72">
        <v>26</v>
      </c>
      <c r="D29" s="234" t="s">
        <v>357</v>
      </c>
      <c r="E29" s="233">
        <f>F29-(F29*0.15)</f>
        <v>2131.6554999999998</v>
      </c>
      <c r="F29" s="233">
        <f>1340.02+801.38+366.43</f>
        <v>2507.83</v>
      </c>
      <c r="G29" s="13"/>
      <c r="H29" s="13"/>
      <c r="I29" s="13"/>
    </row>
    <row r="30" spans="1:9" s="237" customFormat="1">
      <c r="A30" s="236">
        <v>27</v>
      </c>
      <c r="B30" s="238"/>
      <c r="C30" s="72">
        <v>34</v>
      </c>
      <c r="D30" s="234" t="s">
        <v>356</v>
      </c>
      <c r="E30" s="233">
        <f>F30-(F30*0.15)</f>
        <v>1696.9569999999999</v>
      </c>
      <c r="F30" s="233">
        <f>1105.35+575+316.07</f>
        <v>1996.4199999999998</v>
      </c>
      <c r="G30" s="13"/>
      <c r="H30" s="13"/>
      <c r="I30" s="13"/>
    </row>
    <row r="31" spans="1:9" s="237" customFormat="1">
      <c r="A31" s="236">
        <v>28</v>
      </c>
      <c r="B31" s="238"/>
      <c r="C31" s="72">
        <v>51</v>
      </c>
      <c r="D31" s="234" t="s">
        <v>355</v>
      </c>
      <c r="E31" s="233">
        <f>F31-(F31*0.15)</f>
        <v>6313.3494999999994</v>
      </c>
      <c r="F31" s="233">
        <f>1658.83+3645.71+2122.93</f>
        <v>7427.4699999999993</v>
      </c>
      <c r="G31" s="13"/>
      <c r="H31" s="13"/>
      <c r="I31" s="13"/>
    </row>
    <row r="32" spans="1:9" s="237" customFormat="1">
      <c r="A32" s="236">
        <v>29</v>
      </c>
      <c r="B32" s="238"/>
      <c r="C32" s="72">
        <v>20</v>
      </c>
      <c r="D32" s="234" t="s">
        <v>354</v>
      </c>
      <c r="E32" s="233">
        <f>F32-(F32*0.15)</f>
        <v>2260.5495000000001</v>
      </c>
      <c r="F32" s="233">
        <f>1039.48+789.63+830.36</f>
        <v>2659.4700000000003</v>
      </c>
      <c r="G32" s="13"/>
      <c r="H32" s="13"/>
      <c r="I32" s="13"/>
    </row>
    <row r="33" spans="1:9" s="237" customFormat="1">
      <c r="A33" s="236">
        <v>30</v>
      </c>
      <c r="B33" s="238"/>
      <c r="C33" s="72">
        <v>60</v>
      </c>
      <c r="D33" s="234" t="s">
        <v>353</v>
      </c>
      <c r="E33" s="233">
        <f>F33-(F33*0.15)</f>
        <v>4219.1704999999993</v>
      </c>
      <c r="F33" s="233">
        <f>2560.53+2403.2</f>
        <v>4963.7299999999996</v>
      </c>
      <c r="G33" s="13"/>
      <c r="H33" s="13"/>
      <c r="I33" s="13"/>
    </row>
    <row r="34" spans="1:9" s="237" customFormat="1">
      <c r="A34" s="236">
        <v>31</v>
      </c>
      <c r="B34" s="238"/>
      <c r="C34" s="72">
        <v>23</v>
      </c>
      <c r="D34" s="234" t="s">
        <v>352</v>
      </c>
      <c r="E34" s="233">
        <f>F34-(F34*0.15)</f>
        <v>3909.3795000000005</v>
      </c>
      <c r="F34" s="233">
        <f>4167.13+432.14</f>
        <v>4599.2700000000004</v>
      </c>
      <c r="G34" s="13"/>
      <c r="H34" s="13"/>
      <c r="I34" s="13"/>
    </row>
    <row r="35" spans="1:9" s="237" customFormat="1">
      <c r="A35" s="236">
        <v>32</v>
      </c>
      <c r="B35" s="238"/>
      <c r="C35" s="72">
        <v>20</v>
      </c>
      <c r="D35" s="234" t="s">
        <v>351</v>
      </c>
      <c r="E35" s="233">
        <f>F35-(F35*0.15)</f>
        <v>3314.2604999999999</v>
      </c>
      <c r="F35" s="233">
        <f>3166.99+732.14</f>
        <v>3899.1299999999997</v>
      </c>
      <c r="G35" s="13"/>
      <c r="H35" s="13"/>
      <c r="I35" s="13"/>
    </row>
    <row r="36" spans="1:9" s="237" customFormat="1">
      <c r="A36" s="236">
        <v>33</v>
      </c>
      <c r="B36" s="239" t="s">
        <v>350</v>
      </c>
      <c r="C36" s="72">
        <v>74</v>
      </c>
      <c r="D36" s="234" t="s">
        <v>349</v>
      </c>
      <c r="E36" s="233">
        <f>F36-(F36*0.15)</f>
        <v>5539.6794999999993</v>
      </c>
      <c r="F36" s="233">
        <f>166.07+3853.68+1771.74+725.78</f>
        <v>6517.2699999999995</v>
      </c>
      <c r="G36" s="13"/>
      <c r="H36" s="13"/>
      <c r="I36" s="13"/>
    </row>
    <row r="37" spans="1:9" s="237" customFormat="1">
      <c r="A37" s="236">
        <v>34</v>
      </c>
      <c r="B37" s="239"/>
      <c r="C37" s="72">
        <v>23</v>
      </c>
      <c r="D37" s="234" t="s">
        <v>349</v>
      </c>
      <c r="E37" s="233">
        <f>F37-(F37*0.15)</f>
        <v>1680.4245000000001</v>
      </c>
      <c r="F37" s="233">
        <f>255.25+166.67+1201.48+353.57</f>
        <v>1976.97</v>
      </c>
      <c r="G37" s="13"/>
      <c r="H37" s="13"/>
      <c r="I37" s="13"/>
    </row>
    <row r="38" spans="1:9" s="237" customFormat="1">
      <c r="A38" s="236">
        <v>35</v>
      </c>
      <c r="B38" s="239"/>
      <c r="C38" s="72">
        <v>189</v>
      </c>
      <c r="D38" s="234" t="s">
        <v>348</v>
      </c>
      <c r="E38" s="233">
        <f>F38-(F38*0.15)</f>
        <v>13735.711000000001</v>
      </c>
      <c r="F38" s="233">
        <f>1179+7137.67+6100.89+1742.1</f>
        <v>16159.660000000002</v>
      </c>
      <c r="G38" s="13"/>
      <c r="H38" s="13"/>
      <c r="I38" s="13"/>
    </row>
    <row r="39" spans="1:9" s="237" customFormat="1">
      <c r="A39" s="236">
        <v>36</v>
      </c>
      <c r="B39" s="239"/>
      <c r="C39" s="72">
        <v>98</v>
      </c>
      <c r="D39" s="234" t="s">
        <v>347</v>
      </c>
      <c r="E39" s="233">
        <f>F39-(F39*0.15)</f>
        <v>8067.112000000001</v>
      </c>
      <c r="F39" s="233">
        <f>1791.14+4613.8+2902.96+182.82</f>
        <v>9490.7200000000012</v>
      </c>
      <c r="G39" s="13"/>
      <c r="H39" s="13"/>
      <c r="I39" s="13"/>
    </row>
    <row r="40" spans="1:9" s="237" customFormat="1">
      <c r="A40" s="236">
        <v>37</v>
      </c>
      <c r="B40" s="239"/>
      <c r="C40" s="72">
        <v>103</v>
      </c>
      <c r="D40" s="234" t="s">
        <v>337</v>
      </c>
      <c r="E40" s="233">
        <f>F40-(F40*0.15)</f>
        <v>8083.1685000000007</v>
      </c>
      <c r="F40" s="233">
        <f>1636.71+4161.28+2265.2+1446.42</f>
        <v>9509.61</v>
      </c>
      <c r="G40" s="13"/>
      <c r="H40" s="13"/>
      <c r="I40" s="13"/>
    </row>
    <row r="41" spans="1:9" s="237" customFormat="1">
      <c r="A41" s="236">
        <v>38</v>
      </c>
      <c r="B41" s="239"/>
      <c r="C41" s="72">
        <v>31</v>
      </c>
      <c r="D41" s="234" t="s">
        <v>346</v>
      </c>
      <c r="E41" s="233">
        <f>F41-(F41*0.15)</f>
        <v>2719.6260000000002</v>
      </c>
      <c r="F41" s="233">
        <f>1340.59+1858.97</f>
        <v>3199.56</v>
      </c>
      <c r="G41" s="13"/>
      <c r="H41" s="13"/>
      <c r="I41" s="13"/>
    </row>
    <row r="42" spans="1:9" s="237" customFormat="1">
      <c r="A42" s="236">
        <v>39</v>
      </c>
      <c r="B42" s="239"/>
      <c r="C42" s="72">
        <v>42</v>
      </c>
      <c r="D42" s="234" t="s">
        <v>346</v>
      </c>
      <c r="E42" s="233">
        <f>F42-(F42*0.15)</f>
        <v>3561.7465000000002</v>
      </c>
      <c r="F42" s="233">
        <f>867.92+431.7+2080.1+810.57</f>
        <v>4190.29</v>
      </c>
      <c r="G42" s="13"/>
      <c r="H42" s="13"/>
      <c r="I42" s="13"/>
    </row>
    <row r="43" spans="1:9" s="237" customFormat="1">
      <c r="A43" s="236">
        <v>40</v>
      </c>
      <c r="B43" s="239"/>
      <c r="C43" s="72">
        <v>63</v>
      </c>
      <c r="D43" s="234" t="s">
        <v>345</v>
      </c>
      <c r="E43" s="233">
        <f>F43-(F43*0.15)</f>
        <v>5355.2975000000006</v>
      </c>
      <c r="F43" s="233">
        <f>1173.72+3437.83+660.71+1028.09</f>
        <v>6300.35</v>
      </c>
      <c r="G43" s="13"/>
      <c r="H43" s="13"/>
      <c r="I43" s="13"/>
    </row>
    <row r="44" spans="1:9" s="237" customFormat="1">
      <c r="A44" s="236">
        <v>41</v>
      </c>
      <c r="B44" s="239"/>
      <c r="C44" s="72">
        <v>126</v>
      </c>
      <c r="D44" s="234" t="s">
        <v>344</v>
      </c>
      <c r="E44" s="233">
        <f>F44-(F44*0.15)</f>
        <v>11348.026999999998</v>
      </c>
      <c r="F44" s="233">
        <f>1692.95+5847.12+4261.94+1548.61</f>
        <v>13350.619999999999</v>
      </c>
      <c r="G44" s="13"/>
      <c r="H44" s="13"/>
      <c r="I44" s="13"/>
    </row>
    <row r="45" spans="1:9" s="237" customFormat="1">
      <c r="A45" s="236">
        <v>42</v>
      </c>
      <c r="B45" s="239"/>
      <c r="C45" s="72">
        <v>24</v>
      </c>
      <c r="D45" s="234" t="s">
        <v>343</v>
      </c>
      <c r="E45" s="233">
        <f>F45-(F45*0.15)</f>
        <v>2459.0415000000003</v>
      </c>
      <c r="F45" s="233">
        <f>967.84+977.79+487.72+459.64</f>
        <v>2892.9900000000002</v>
      </c>
      <c r="G45" s="13"/>
      <c r="H45" s="13"/>
      <c r="I45" s="13"/>
    </row>
    <row r="46" spans="1:9" s="237" customFormat="1">
      <c r="A46" s="236">
        <v>43</v>
      </c>
      <c r="B46" s="239"/>
      <c r="C46" s="72">
        <v>26</v>
      </c>
      <c r="D46" s="234" t="s">
        <v>330</v>
      </c>
      <c r="E46" s="233">
        <f>F46-(F46*0.15)</f>
        <v>6882.8069999999998</v>
      </c>
      <c r="F46" s="233">
        <f>6898.21+1199.21</f>
        <v>8097.42</v>
      </c>
      <c r="G46" s="13"/>
      <c r="H46" s="13"/>
      <c r="I46" s="13"/>
    </row>
    <row r="47" spans="1:9" s="237" customFormat="1">
      <c r="A47" s="236">
        <v>44</v>
      </c>
      <c r="B47" s="239"/>
      <c r="C47" s="72">
        <v>69</v>
      </c>
      <c r="D47" s="234" t="s">
        <v>342</v>
      </c>
      <c r="E47" s="233">
        <f>F47-(F47*0.15)</f>
        <v>6456.5404999999992</v>
      </c>
      <c r="F47" s="233">
        <f>4327.28+2720.94+547.71</f>
        <v>7595.9299999999994</v>
      </c>
      <c r="G47" s="13"/>
      <c r="H47" s="13"/>
      <c r="I47" s="13"/>
    </row>
    <row r="48" spans="1:9" s="237" customFormat="1">
      <c r="A48" s="236">
        <v>45</v>
      </c>
      <c r="B48" s="239"/>
      <c r="C48" s="72">
        <v>20</v>
      </c>
      <c r="D48" s="234" t="s">
        <v>341</v>
      </c>
      <c r="E48" s="233">
        <f>F48-(F48*0.15)</f>
        <v>2335.6554999999998</v>
      </c>
      <c r="F48" s="233">
        <f>561.4+1936.43+250</f>
        <v>2747.83</v>
      </c>
      <c r="G48" s="13"/>
      <c r="H48" s="13"/>
      <c r="I48" s="13"/>
    </row>
    <row r="49" spans="1:9" s="237" customFormat="1">
      <c r="A49" s="236">
        <v>46</v>
      </c>
      <c r="B49" s="239"/>
      <c r="C49" s="72">
        <v>27</v>
      </c>
      <c r="D49" s="234" t="s">
        <v>340</v>
      </c>
      <c r="E49" s="233">
        <f>F49-(F49*0.15)</f>
        <v>3350.0710000000004</v>
      </c>
      <c r="F49" s="233">
        <f>2791.27+864.28+285.71</f>
        <v>3941.26</v>
      </c>
      <c r="G49" s="13"/>
      <c r="H49" s="13"/>
      <c r="I49" s="13"/>
    </row>
    <row r="50" spans="1:9" s="237" customFormat="1">
      <c r="A50" s="236">
        <v>47</v>
      </c>
      <c r="B50" s="239"/>
      <c r="C50" s="72">
        <v>35</v>
      </c>
      <c r="D50" s="234" t="s">
        <v>339</v>
      </c>
      <c r="E50" s="233">
        <f>F50-(F50*0.15)</f>
        <v>3753.6680000000001</v>
      </c>
      <c r="F50" s="233">
        <f>249.82+890.35+3275.91</f>
        <v>4416.08</v>
      </c>
      <c r="G50" s="13"/>
      <c r="H50" s="13"/>
      <c r="I50" s="13"/>
    </row>
    <row r="51" spans="1:9" s="237" customFormat="1">
      <c r="A51" s="236">
        <v>48</v>
      </c>
      <c r="B51" s="239"/>
      <c r="C51" s="72">
        <v>137</v>
      </c>
      <c r="D51" s="234" t="s">
        <v>338</v>
      </c>
      <c r="E51" s="233">
        <f>F51-(F51*0.15)</f>
        <v>12034.249</v>
      </c>
      <c r="F51" s="233">
        <f>4156.84+1354.98+7597.98+1048.14</f>
        <v>14157.939999999999</v>
      </c>
      <c r="G51" s="13"/>
      <c r="H51" s="13"/>
      <c r="I51" s="13"/>
    </row>
    <row r="52" spans="1:9" s="237" customFormat="1">
      <c r="A52" s="236">
        <v>49</v>
      </c>
      <c r="B52" s="239"/>
      <c r="C52" s="72">
        <v>152</v>
      </c>
      <c r="D52" s="234" t="s">
        <v>337</v>
      </c>
      <c r="E52" s="233">
        <f>F52-(F52*0.15)</f>
        <v>13701.591999999999</v>
      </c>
      <c r="F52" s="233">
        <f>541.07+5366.66+8844.96+1366.83</f>
        <v>16119.519999999999</v>
      </c>
      <c r="G52" s="13"/>
      <c r="H52" s="13"/>
      <c r="I52" s="13"/>
    </row>
    <row r="53" spans="1:9" s="237" customFormat="1">
      <c r="A53" s="236">
        <v>50</v>
      </c>
      <c r="B53" s="239"/>
      <c r="C53" s="72">
        <v>28</v>
      </c>
      <c r="D53" s="234" t="s">
        <v>336</v>
      </c>
      <c r="E53" s="233">
        <f>F53-(F53*0.15)</f>
        <v>2544.2795000000001</v>
      </c>
      <c r="F53" s="233">
        <f>434.89+491.07+2067.31</f>
        <v>2993.27</v>
      </c>
      <c r="G53" s="13"/>
      <c r="H53" s="13"/>
      <c r="I53" s="13"/>
    </row>
    <row r="54" spans="1:9" s="237" customFormat="1">
      <c r="A54" s="236">
        <v>51</v>
      </c>
      <c r="B54" s="239"/>
      <c r="C54" s="72">
        <v>29</v>
      </c>
      <c r="D54" s="234" t="s">
        <v>335</v>
      </c>
      <c r="E54" s="233">
        <f>F54-(F54*0.15)</f>
        <v>3365.915</v>
      </c>
      <c r="F54" s="233">
        <f>264.91+939.14+2755.85</f>
        <v>3959.8999999999996</v>
      </c>
      <c r="G54" s="13"/>
      <c r="H54" s="13"/>
      <c r="I54" s="13"/>
    </row>
    <row r="55" spans="1:9" s="237" customFormat="1">
      <c r="A55" s="236">
        <v>52</v>
      </c>
      <c r="B55" s="239"/>
      <c r="C55" s="72">
        <v>159</v>
      </c>
      <c r="D55" s="234" t="s">
        <v>334</v>
      </c>
      <c r="E55" s="233">
        <f>F55-(F55*0.15)</f>
        <v>5768.2785000000003</v>
      </c>
      <c r="F55" s="233">
        <f>738.37+2977.25+2111.95+958.64</f>
        <v>6786.21</v>
      </c>
      <c r="G55" s="13"/>
      <c r="H55" s="13"/>
      <c r="I55" s="13"/>
    </row>
    <row r="56" spans="1:9" s="237" customFormat="1">
      <c r="A56" s="236">
        <v>53</v>
      </c>
      <c r="B56" s="239"/>
      <c r="C56" s="72">
        <v>29</v>
      </c>
      <c r="D56" s="234" t="s">
        <v>333</v>
      </c>
      <c r="E56" s="233">
        <f>F56-(F56*0.15)</f>
        <v>990.13950000000011</v>
      </c>
      <c r="F56" s="233">
        <f>400.22+612.12+152.53</f>
        <v>1164.8700000000001</v>
      </c>
      <c r="G56" s="13"/>
      <c r="H56" s="13"/>
      <c r="I56" s="13"/>
    </row>
    <row r="57" spans="1:9" s="237" customFormat="1">
      <c r="A57" s="236">
        <v>54</v>
      </c>
      <c r="B57" s="239"/>
      <c r="C57" s="72">
        <v>58</v>
      </c>
      <c r="D57" s="234" t="s">
        <v>332</v>
      </c>
      <c r="E57" s="233">
        <f>F57-(F57*0.15)</f>
        <v>2365.2950000000001</v>
      </c>
      <c r="F57" s="233">
        <f>998.11+558.84+889.86+335.89</f>
        <v>2782.7</v>
      </c>
      <c r="G57" s="13"/>
      <c r="H57" s="13"/>
      <c r="I57" s="13"/>
    </row>
    <row r="58" spans="1:9" s="237" customFormat="1">
      <c r="A58" s="236">
        <v>55</v>
      </c>
      <c r="B58" s="239"/>
      <c r="C58" s="72">
        <v>310</v>
      </c>
      <c r="D58" s="234" t="s">
        <v>331</v>
      </c>
      <c r="E58" s="233">
        <f>F58-(F58*0.15)</f>
        <v>9156.284999999998</v>
      </c>
      <c r="F58" s="233">
        <f>1892.57+2315.64+4720.52+1843.37</f>
        <v>10772.099999999999</v>
      </c>
      <c r="G58" s="13"/>
      <c r="H58" s="13"/>
      <c r="I58" s="13"/>
    </row>
    <row r="59" spans="1:9" s="237" customFormat="1">
      <c r="A59" s="236">
        <v>56</v>
      </c>
      <c r="B59" s="239"/>
      <c r="C59" s="72">
        <v>22</v>
      </c>
      <c r="D59" s="234" t="s">
        <v>330</v>
      </c>
      <c r="E59" s="233">
        <f>F59-(F59*0.15)</f>
        <v>5417.0245000000004</v>
      </c>
      <c r="F59" s="233">
        <f>4610.47+1762.5</f>
        <v>6372.97</v>
      </c>
      <c r="G59" s="13"/>
      <c r="H59" s="13"/>
      <c r="I59" s="13"/>
    </row>
    <row r="60" spans="1:9" s="237" customFormat="1">
      <c r="A60" s="236">
        <v>57</v>
      </c>
      <c r="B60" s="238" t="s">
        <v>329</v>
      </c>
      <c r="C60" s="72">
        <v>34</v>
      </c>
      <c r="D60" s="234" t="s">
        <v>328</v>
      </c>
      <c r="E60" s="233">
        <f>F60-(F60*0.15)</f>
        <v>1360.9010000000001</v>
      </c>
      <c r="F60" s="233">
        <f>842.08+469.57+289.41</f>
        <v>1601.0600000000002</v>
      </c>
      <c r="G60" s="13"/>
      <c r="H60" s="13"/>
      <c r="I60" s="13"/>
    </row>
    <row r="61" spans="1:9" s="237" customFormat="1">
      <c r="A61" s="236">
        <v>58</v>
      </c>
      <c r="B61" s="238"/>
      <c r="C61" s="72">
        <v>104</v>
      </c>
      <c r="D61" s="234" t="s">
        <v>327</v>
      </c>
      <c r="E61" s="233">
        <f>F61-(F61*0.15)</f>
        <v>5324.5445</v>
      </c>
      <c r="F61" s="233">
        <f>961.67+2069.67+2665.79+567.04</f>
        <v>6264.17</v>
      </c>
      <c r="G61" s="13"/>
      <c r="H61" s="13"/>
      <c r="I61" s="13"/>
    </row>
    <row r="62" spans="1:9" s="237" customFormat="1">
      <c r="A62" s="236">
        <v>59</v>
      </c>
      <c r="B62" s="238"/>
      <c r="C62" s="72">
        <v>98</v>
      </c>
      <c r="D62" s="234" t="s">
        <v>326</v>
      </c>
      <c r="E62" s="233">
        <f>F62-(F62*0.15)</f>
        <v>4004.5115000000005</v>
      </c>
      <c r="F62" s="233">
        <f>1227.14+1209.13+2131.52+143.4</f>
        <v>4711.1900000000005</v>
      </c>
      <c r="G62" s="13"/>
      <c r="H62" s="13"/>
      <c r="I62" s="13"/>
    </row>
    <row r="63" spans="1:9" s="237" customFormat="1">
      <c r="A63" s="236">
        <v>60</v>
      </c>
      <c r="B63" s="238"/>
      <c r="C63" s="72">
        <v>20</v>
      </c>
      <c r="D63" s="234" t="s">
        <v>325</v>
      </c>
      <c r="E63" s="233">
        <f>F63-(F63*0.15)</f>
        <v>945.0300000000002</v>
      </c>
      <c r="F63" s="233">
        <f>239.56+207.05+665.19</f>
        <v>1111.8000000000002</v>
      </c>
      <c r="G63" s="13"/>
      <c r="H63" s="13"/>
      <c r="I63" s="13"/>
    </row>
    <row r="64" spans="1:9" s="237" customFormat="1">
      <c r="A64" s="236">
        <v>61</v>
      </c>
      <c r="B64" s="238"/>
      <c r="C64" s="72">
        <v>95</v>
      </c>
      <c r="D64" s="234" t="s">
        <v>324</v>
      </c>
      <c r="E64" s="233">
        <f>F64-(F64*0.15)</f>
        <v>4205.63</v>
      </c>
      <c r="F64" s="233">
        <f>526.79+1330.13+2728.6+362.28</f>
        <v>4947.8</v>
      </c>
      <c r="G64" s="13"/>
      <c r="H64" s="13"/>
      <c r="I64" s="13"/>
    </row>
    <row r="65" spans="1:9" s="237" customFormat="1">
      <c r="A65" s="236">
        <v>62</v>
      </c>
      <c r="B65" s="238"/>
      <c r="C65" s="72">
        <v>28</v>
      </c>
      <c r="D65" s="234" t="s">
        <v>323</v>
      </c>
      <c r="E65" s="233">
        <f>F65-(F65*0.15)</f>
        <v>1523.2255</v>
      </c>
      <c r="F65" s="233">
        <f>252.64+1279.57+259.82</f>
        <v>1792.03</v>
      </c>
      <c r="G65" s="13"/>
      <c r="H65" s="13"/>
      <c r="I65" s="13"/>
    </row>
    <row r="66" spans="1:9" s="237" customFormat="1">
      <c r="A66" s="236">
        <v>63</v>
      </c>
      <c r="B66" s="238"/>
      <c r="C66" s="72">
        <v>20</v>
      </c>
      <c r="D66" s="234" t="s">
        <v>322</v>
      </c>
      <c r="E66" s="233">
        <f>F66-(F66*0.15)</f>
        <v>1019.2520000000001</v>
      </c>
      <c r="F66" s="233">
        <f>491.98+471.43+235.71</f>
        <v>1199.1200000000001</v>
      </c>
      <c r="G66" s="13"/>
      <c r="H66" s="13"/>
      <c r="I66" s="13"/>
    </row>
    <row r="67" spans="1:9" s="237" customFormat="1">
      <c r="A67" s="236">
        <v>64</v>
      </c>
      <c r="B67" s="238"/>
      <c r="C67" s="72">
        <v>43</v>
      </c>
      <c r="D67" s="234" t="s">
        <v>321</v>
      </c>
      <c r="E67" s="233">
        <f>F67-(F67*0.15)</f>
        <v>1911.0974999999999</v>
      </c>
      <c r="F67" s="233">
        <f>55.36+761.92+198.25+1232.82</f>
        <v>2248.35</v>
      </c>
      <c r="G67" s="13"/>
      <c r="H67" s="13"/>
      <c r="I67" s="13"/>
    </row>
    <row r="68" spans="1:9" s="237" customFormat="1">
      <c r="A68" s="236">
        <v>65</v>
      </c>
      <c r="B68" s="238"/>
      <c r="C68" s="72">
        <v>232</v>
      </c>
      <c r="D68" s="234" t="s">
        <v>320</v>
      </c>
      <c r="E68" s="233">
        <f>F68-(F68*0.15)</f>
        <v>11456.402</v>
      </c>
      <c r="F68" s="233">
        <f>3613.97+1728.32+5938.02+2197.81</f>
        <v>13478.12</v>
      </c>
      <c r="G68" s="13"/>
      <c r="H68" s="13"/>
      <c r="I68" s="13"/>
    </row>
    <row r="69" spans="1:9" s="237" customFormat="1">
      <c r="A69" s="236">
        <v>66</v>
      </c>
      <c r="B69" s="238"/>
      <c r="C69" s="72">
        <v>224</v>
      </c>
      <c r="D69" s="234" t="s">
        <v>319</v>
      </c>
      <c r="E69" s="233">
        <f>F69-(F69*0.15)</f>
        <v>11345.085999999999</v>
      </c>
      <c r="F69" s="233">
        <f>1101.06+8106.41+926.58+3213.11</f>
        <v>13347.16</v>
      </c>
      <c r="G69" s="13"/>
      <c r="H69" s="13"/>
      <c r="I69" s="13"/>
    </row>
    <row r="70" spans="1:9" s="237" customFormat="1">
      <c r="A70" s="236">
        <v>67</v>
      </c>
      <c r="B70" s="238"/>
      <c r="C70" s="72">
        <v>42</v>
      </c>
      <c r="D70" s="234" t="s">
        <v>318</v>
      </c>
      <c r="E70" s="233">
        <f>F70-(F70*0.15)</f>
        <v>2137.1804999999999</v>
      </c>
      <c r="F70" s="233">
        <f>289.69+342.23+1825.27+57.14</f>
        <v>2514.33</v>
      </c>
      <c r="G70" s="13"/>
      <c r="H70" s="13"/>
      <c r="I70" s="13"/>
    </row>
    <row r="71" spans="1:9" s="237" customFormat="1">
      <c r="A71" s="236">
        <v>68</v>
      </c>
      <c r="B71" s="238"/>
      <c r="C71" s="72">
        <v>102</v>
      </c>
      <c r="D71" s="234" t="s">
        <v>317</v>
      </c>
      <c r="E71" s="233">
        <f>F71-(F71*0.15)</f>
        <v>5471.3990000000003</v>
      </c>
      <c r="F71" s="233">
        <f>1058.78+252.63+4806.77+318.76</f>
        <v>6436.9400000000005</v>
      </c>
      <c r="G71" s="13"/>
      <c r="H71" s="13"/>
      <c r="I71" s="13"/>
    </row>
    <row r="72" spans="1:9" s="237" customFormat="1">
      <c r="A72" s="236">
        <v>69</v>
      </c>
      <c r="B72" s="238"/>
      <c r="C72" s="72">
        <v>20</v>
      </c>
      <c r="D72" s="234" t="s">
        <v>316</v>
      </c>
      <c r="E72" s="233">
        <f>F72-(F72*0.15)</f>
        <v>1107.5160000000001</v>
      </c>
      <c r="F72" s="233">
        <f>125+1045.82+132.14</f>
        <v>1302.96</v>
      </c>
      <c r="G72" s="13"/>
      <c r="H72" s="13"/>
      <c r="I72" s="13"/>
    </row>
    <row r="73" spans="1:9" s="237" customFormat="1">
      <c r="A73" s="236">
        <v>70</v>
      </c>
      <c r="B73" s="238"/>
      <c r="C73" s="72">
        <v>37</v>
      </c>
      <c r="D73" s="234" t="s">
        <v>316</v>
      </c>
      <c r="E73" s="233">
        <f>F73-(F73*0.15)</f>
        <v>2071.5519999999997</v>
      </c>
      <c r="F73" s="233">
        <f>532.12+258.93+1385.36+260.71</f>
        <v>2437.12</v>
      </c>
      <c r="G73" s="13"/>
      <c r="H73" s="13"/>
      <c r="I73" s="13"/>
    </row>
    <row r="74" spans="1:9" s="237" customFormat="1">
      <c r="A74" s="236">
        <v>71</v>
      </c>
      <c r="B74" s="238"/>
      <c r="C74" s="72">
        <v>21</v>
      </c>
      <c r="D74" s="234" t="s">
        <v>315</v>
      </c>
      <c r="E74" s="233">
        <f>F74-(F74*0.15)</f>
        <v>1255.671</v>
      </c>
      <c r="F74" s="233">
        <f>285.47+1191.79</f>
        <v>1477.26</v>
      </c>
      <c r="G74" s="13"/>
      <c r="H74" s="13"/>
      <c r="I74" s="13"/>
    </row>
    <row r="75" spans="1:9" s="237" customFormat="1">
      <c r="A75" s="236">
        <v>72</v>
      </c>
      <c r="B75" s="238"/>
      <c r="C75" s="72">
        <v>70</v>
      </c>
      <c r="D75" s="234" t="s">
        <v>315</v>
      </c>
      <c r="E75" s="233">
        <f>F75-(F75*0.15)</f>
        <v>4122.0664999999999</v>
      </c>
      <c r="F75" s="233">
        <f>889.7+336.84+2851.15+771.8</f>
        <v>4849.49</v>
      </c>
      <c r="G75" s="13"/>
      <c r="H75" s="13"/>
      <c r="I75" s="13"/>
    </row>
    <row r="76" spans="1:9" s="237" customFormat="1">
      <c r="A76" s="236">
        <v>73</v>
      </c>
      <c r="B76" s="238"/>
      <c r="C76" s="72">
        <v>21</v>
      </c>
      <c r="D76" s="234" t="s">
        <v>314</v>
      </c>
      <c r="E76" s="233">
        <f>F76-(F76*0.15)</f>
        <v>1194.8534999999999</v>
      </c>
      <c r="F76" s="233">
        <f>267.86+864.17+273.68</f>
        <v>1405.71</v>
      </c>
      <c r="G76" s="13"/>
      <c r="H76" s="13"/>
      <c r="I76" s="13"/>
    </row>
    <row r="77" spans="1:9" s="237" customFormat="1">
      <c r="A77" s="236">
        <v>74</v>
      </c>
      <c r="B77" s="238"/>
      <c r="C77" s="72">
        <v>136</v>
      </c>
      <c r="D77" s="234" t="s">
        <v>313</v>
      </c>
      <c r="E77" s="233">
        <f>F77-(F77*0.15)</f>
        <v>8060.0229999999992</v>
      </c>
      <c r="F77" s="233">
        <f>3474.01+1781.32+3036.08+1190.97</f>
        <v>9482.3799999999992</v>
      </c>
      <c r="G77" s="13"/>
      <c r="H77" s="13"/>
      <c r="I77" s="13"/>
    </row>
    <row r="78" spans="1:9" s="237" customFormat="1">
      <c r="A78" s="236">
        <v>75</v>
      </c>
      <c r="B78" s="238"/>
      <c r="C78" s="72">
        <v>50</v>
      </c>
      <c r="D78" s="234" t="s">
        <v>312</v>
      </c>
      <c r="E78" s="233">
        <f>F78-(F78*0.15)</f>
        <v>3152.8539999999998</v>
      </c>
      <c r="F78" s="233">
        <f>1151.21+139.3+1959.6+459.13</f>
        <v>3709.24</v>
      </c>
      <c r="G78" s="13"/>
      <c r="H78" s="13"/>
      <c r="I78" s="13"/>
    </row>
    <row r="79" spans="1:9" s="237" customFormat="1">
      <c r="A79" s="236">
        <v>76</v>
      </c>
      <c r="B79" s="238"/>
      <c r="C79" s="72">
        <v>29</v>
      </c>
      <c r="D79" s="234" t="s">
        <v>311</v>
      </c>
      <c r="E79" s="233">
        <f>F79-(F79*0.15)</f>
        <v>1913.2905000000003</v>
      </c>
      <c r="F79" s="233">
        <f>746.43+1352.72+151.78</f>
        <v>2250.9300000000003</v>
      </c>
      <c r="G79" s="13"/>
      <c r="H79" s="13"/>
      <c r="I79" s="13"/>
    </row>
    <row r="80" spans="1:9" s="237" customFormat="1">
      <c r="A80" s="236">
        <v>77</v>
      </c>
      <c r="B80" s="238"/>
      <c r="C80" s="72">
        <v>24</v>
      </c>
      <c r="D80" s="234" t="s">
        <v>310</v>
      </c>
      <c r="E80" s="233">
        <f>F80-(F80*0.15)</f>
        <v>1660.6365000000001</v>
      </c>
      <c r="F80" s="233">
        <f>325.72+164.29+1144.38+319.3</f>
        <v>1953.69</v>
      </c>
      <c r="G80" s="13"/>
      <c r="H80" s="13"/>
      <c r="I80" s="13"/>
    </row>
    <row r="81" spans="1:9" s="237" customFormat="1">
      <c r="A81" s="236">
        <v>78</v>
      </c>
      <c r="B81" s="238"/>
      <c r="C81" s="72">
        <v>44</v>
      </c>
      <c r="D81" s="234" t="s">
        <v>309</v>
      </c>
      <c r="E81" s="233">
        <f>F81-(F81*0.15)</f>
        <v>3776.5925000000002</v>
      </c>
      <c r="F81" s="233">
        <f>1875.09+1789.39+778.57</f>
        <v>4443.05</v>
      </c>
      <c r="G81" s="13"/>
      <c r="H81" s="13"/>
      <c r="I81" s="13"/>
    </row>
    <row r="82" spans="1:9" s="237" customFormat="1">
      <c r="A82" s="236">
        <v>79</v>
      </c>
      <c r="B82" s="238"/>
      <c r="C82" s="72">
        <v>35</v>
      </c>
      <c r="D82" s="234" t="s">
        <v>308</v>
      </c>
      <c r="E82" s="233">
        <f>F82-(F82*0.15)</f>
        <v>2974.5324999999998</v>
      </c>
      <c r="F82" s="233">
        <f>192.98+687.68+1809.38+809.41</f>
        <v>3499.45</v>
      </c>
      <c r="G82" s="13"/>
      <c r="H82" s="13"/>
      <c r="I82" s="13"/>
    </row>
    <row r="83" spans="1:9" s="237" customFormat="1">
      <c r="A83" s="236">
        <v>80</v>
      </c>
      <c r="B83" s="238"/>
      <c r="C83" s="72">
        <v>24</v>
      </c>
      <c r="D83" s="234" t="s">
        <v>307</v>
      </c>
      <c r="E83" s="233">
        <f>F83-(F83*0.15)</f>
        <v>2157.8865000000001</v>
      </c>
      <c r="F83" s="233">
        <f>837.5+1488.91+212.28</f>
        <v>2538.69</v>
      </c>
      <c r="G83" s="13"/>
      <c r="H83" s="13"/>
      <c r="I83" s="13"/>
    </row>
    <row r="84" spans="1:9" s="237" customFormat="1">
      <c r="A84" s="236">
        <v>81</v>
      </c>
      <c r="B84" s="238"/>
      <c r="C84" s="72">
        <v>72</v>
      </c>
      <c r="D84" s="234" t="s">
        <v>307</v>
      </c>
      <c r="E84" s="233">
        <f>F84-(F84*0.15)</f>
        <v>6230.6785</v>
      </c>
      <c r="F84" s="233">
        <f>3436.41+3692.05+201.75</f>
        <v>7330.21</v>
      </c>
      <c r="G84" s="13"/>
      <c r="H84" s="13"/>
      <c r="I84" s="13"/>
    </row>
    <row r="85" spans="1:9" s="237" customFormat="1">
      <c r="A85" s="236">
        <v>82</v>
      </c>
      <c r="B85" s="238"/>
      <c r="C85" s="72">
        <v>27</v>
      </c>
      <c r="D85" s="234" t="s">
        <v>307</v>
      </c>
      <c r="E85" s="233">
        <f>F85-(F85*0.15)</f>
        <v>2769.9544999999998</v>
      </c>
      <c r="F85" s="233">
        <f>517.86+946.08+1794.83</f>
        <v>3258.77</v>
      </c>
      <c r="G85" s="13"/>
      <c r="H85" s="13"/>
      <c r="I85" s="13"/>
    </row>
    <row r="86" spans="1:9" s="237" customFormat="1">
      <c r="A86" s="236">
        <v>83</v>
      </c>
      <c r="B86" s="238"/>
      <c r="C86" s="72">
        <v>28</v>
      </c>
      <c r="D86" s="234" t="s">
        <v>306</v>
      </c>
      <c r="E86" s="233">
        <f>F86-(F86*0.15)</f>
        <v>2801.1750000000002</v>
      </c>
      <c r="F86" s="233">
        <f>1375.76+1919.74</f>
        <v>3295.5</v>
      </c>
      <c r="G86" s="13"/>
      <c r="H86" s="13"/>
      <c r="I86" s="13"/>
    </row>
    <row r="87" spans="1:9" s="237" customFormat="1">
      <c r="A87" s="236">
        <v>84</v>
      </c>
      <c r="B87" s="238"/>
      <c r="C87" s="72">
        <v>109</v>
      </c>
      <c r="D87" s="234" t="s">
        <v>305</v>
      </c>
      <c r="E87" s="233">
        <f>F87-(F87*0.15)</f>
        <v>10340.836500000001</v>
      </c>
      <c r="F87" s="233">
        <f>2917.58+428.38+7924.38+895.35</f>
        <v>12165.69</v>
      </c>
      <c r="G87" s="13"/>
      <c r="H87" s="13"/>
      <c r="I87" s="13"/>
    </row>
    <row r="88" spans="1:9" s="237" customFormat="1">
      <c r="A88" s="236">
        <v>85</v>
      </c>
      <c r="B88" s="238"/>
      <c r="C88" s="72">
        <v>23</v>
      </c>
      <c r="D88" s="234" t="s">
        <v>304</v>
      </c>
      <c r="E88" s="233">
        <f>F88-(F88*0.15)</f>
        <v>2482.9265</v>
      </c>
      <c r="F88" s="233">
        <f>1673.66+1247.43</f>
        <v>2921.09</v>
      </c>
      <c r="G88" s="13"/>
      <c r="H88" s="13"/>
      <c r="I88" s="13"/>
    </row>
    <row r="89" spans="1:9" s="237" customFormat="1">
      <c r="A89" s="236">
        <v>86</v>
      </c>
      <c r="B89" s="238"/>
      <c r="C89" s="72">
        <v>62</v>
      </c>
      <c r="D89" s="234" t="s">
        <v>303</v>
      </c>
      <c r="E89" s="233">
        <f>F89-(F89*0.15)</f>
        <v>5607.6370000000006</v>
      </c>
      <c r="F89" s="233">
        <f>2867.14+2446.11+1283.97</f>
        <v>6597.22</v>
      </c>
      <c r="G89" s="13"/>
      <c r="H89" s="13"/>
      <c r="I89" s="13"/>
    </row>
    <row r="90" spans="1:9" s="237" customFormat="1">
      <c r="A90" s="236">
        <v>87</v>
      </c>
      <c r="B90" s="238"/>
      <c r="C90" s="72">
        <v>41</v>
      </c>
      <c r="D90" s="234" t="s">
        <v>303</v>
      </c>
      <c r="E90" s="233">
        <f>F90-(F90*0.15)</f>
        <v>3474.3835000000004</v>
      </c>
      <c r="F90" s="233">
        <f>1365.44+589.29+2132.78</f>
        <v>4087.51</v>
      </c>
      <c r="G90" s="13"/>
      <c r="H90" s="13"/>
      <c r="I90" s="13"/>
    </row>
    <row r="91" spans="1:9" s="237" customFormat="1">
      <c r="A91" s="236">
        <v>88</v>
      </c>
      <c r="B91" s="238"/>
      <c r="C91" s="72">
        <v>146</v>
      </c>
      <c r="D91" s="234" t="s">
        <v>302</v>
      </c>
      <c r="E91" s="233">
        <f>F91-(F91*0.15)</f>
        <v>13811.4545</v>
      </c>
      <c r="F91" s="233">
        <f>3629.33+3835.85+1608.52+7175.07</f>
        <v>16248.77</v>
      </c>
      <c r="G91" s="13"/>
      <c r="H91" s="13"/>
      <c r="I91" s="13"/>
    </row>
    <row r="92" spans="1:9" s="237" customFormat="1">
      <c r="A92" s="236">
        <v>89</v>
      </c>
      <c r="B92" s="238"/>
      <c r="C92" s="72">
        <v>22</v>
      </c>
      <c r="D92" s="234" t="s">
        <v>301</v>
      </c>
      <c r="E92" s="233">
        <f>F92-(F92*0.15)</f>
        <v>2327.5124999999998</v>
      </c>
      <c r="F92" s="233">
        <f>767.48+990.98+979.79</f>
        <v>2738.25</v>
      </c>
      <c r="G92" s="13"/>
      <c r="H92" s="13"/>
      <c r="I92" s="13"/>
    </row>
    <row r="93" spans="1:9" s="237" customFormat="1">
      <c r="A93" s="236">
        <v>90</v>
      </c>
      <c r="B93" s="238"/>
      <c r="C93" s="72">
        <v>23</v>
      </c>
      <c r="D93" s="234" t="s">
        <v>300</v>
      </c>
      <c r="E93" s="233">
        <f>F93-(F93*0.15)</f>
        <v>2427.8125</v>
      </c>
      <c r="F93" s="233">
        <f>378.95+491.23+1986.07</f>
        <v>2856.25</v>
      </c>
      <c r="G93" s="13"/>
      <c r="H93" s="13"/>
      <c r="I93" s="13"/>
    </row>
    <row r="94" spans="1:9" s="237" customFormat="1">
      <c r="A94" s="236">
        <v>91</v>
      </c>
      <c r="B94" s="238"/>
      <c r="C94" s="72">
        <v>34</v>
      </c>
      <c r="D94" s="234" t="s">
        <v>299</v>
      </c>
      <c r="E94" s="233">
        <f>F94-(F94*0.15)</f>
        <v>3558.2954999999997</v>
      </c>
      <c r="F94" s="233">
        <f>483.83+1471.74+2230.66</f>
        <v>4186.2299999999996</v>
      </c>
      <c r="G94" s="13"/>
      <c r="H94" s="13"/>
      <c r="I94" s="13"/>
    </row>
    <row r="95" spans="1:9" s="237" customFormat="1">
      <c r="A95" s="236">
        <v>92</v>
      </c>
      <c r="B95" s="238"/>
      <c r="C95" s="72">
        <v>29</v>
      </c>
      <c r="D95" s="234" t="s">
        <v>298</v>
      </c>
      <c r="E95" s="233">
        <f>F95-(F95*0.15)</f>
        <v>3627.7490000000007</v>
      </c>
      <c r="F95" s="233">
        <f>535.71+3732.23</f>
        <v>4267.9400000000005</v>
      </c>
      <c r="G95" s="13"/>
      <c r="H95" s="13"/>
      <c r="I95" s="13"/>
    </row>
    <row r="96" spans="1:9" s="237" customFormat="1">
      <c r="A96" s="236">
        <v>93</v>
      </c>
      <c r="B96" s="238"/>
      <c r="C96" s="72">
        <v>40</v>
      </c>
      <c r="D96" s="234" t="s">
        <v>298</v>
      </c>
      <c r="E96" s="233">
        <f>F96-(F96*0.15)</f>
        <v>4840.851999999999</v>
      </c>
      <c r="F96" s="233">
        <f>1967.02+571.43+278.78+2877.89</f>
        <v>5695.119999999999</v>
      </c>
      <c r="G96" s="13"/>
      <c r="H96" s="13"/>
      <c r="I96" s="13"/>
    </row>
    <row r="97" spans="1:9" s="237" customFormat="1">
      <c r="A97" s="236">
        <v>94</v>
      </c>
      <c r="B97" s="238"/>
      <c r="C97" s="72">
        <v>21</v>
      </c>
      <c r="D97" s="234" t="s">
        <v>297</v>
      </c>
      <c r="E97" s="233">
        <f>F97-(F97*0.15)</f>
        <v>2620.0655000000002</v>
      </c>
      <c r="F97" s="233">
        <f>303.57+2778.86</f>
        <v>3082.4300000000003</v>
      </c>
      <c r="G97" s="13"/>
      <c r="H97" s="13"/>
      <c r="I97" s="13"/>
    </row>
    <row r="98" spans="1:9" s="237" customFormat="1">
      <c r="A98" s="236">
        <v>95</v>
      </c>
      <c r="B98" s="238"/>
      <c r="C98" s="72">
        <v>108</v>
      </c>
      <c r="D98" s="234" t="s">
        <v>296</v>
      </c>
      <c r="E98" s="233">
        <f>F98-(F98*0.15)</f>
        <v>38177.137999999999</v>
      </c>
      <c r="F98" s="233">
        <f>767.86+7697.68+22140.3+14308.44</f>
        <v>44914.28</v>
      </c>
      <c r="G98" s="13"/>
      <c r="H98" s="13"/>
      <c r="I98" s="13"/>
    </row>
    <row r="99" spans="1:9" s="237" customFormat="1">
      <c r="A99" s="236">
        <v>96</v>
      </c>
      <c r="B99" s="238"/>
      <c r="C99" s="72">
        <v>28</v>
      </c>
      <c r="D99" s="234" t="s">
        <v>295</v>
      </c>
      <c r="E99" s="233">
        <f>F99-(F99*0.15)</f>
        <v>3541.5250000000001</v>
      </c>
      <c r="F99" s="233">
        <f>619.36+3234.64+312.5</f>
        <v>4166.5</v>
      </c>
      <c r="G99" s="13"/>
      <c r="H99" s="13"/>
      <c r="I99" s="13"/>
    </row>
    <row r="100" spans="1:9" s="237" customFormat="1">
      <c r="A100" s="236">
        <v>97</v>
      </c>
      <c r="B100" s="238"/>
      <c r="C100" s="72">
        <v>20</v>
      </c>
      <c r="D100" s="234" t="s">
        <v>294</v>
      </c>
      <c r="E100" s="233">
        <f>F100-(F100*0.15)</f>
        <v>1780.3420000000001</v>
      </c>
      <c r="F100" s="233">
        <f>423.65+828.21+842.66</f>
        <v>2094.52</v>
      </c>
      <c r="G100" s="13"/>
      <c r="H100" s="13"/>
      <c r="I100" s="13"/>
    </row>
    <row r="101" spans="1:9" s="237" customFormat="1">
      <c r="A101" s="236">
        <v>98</v>
      </c>
      <c r="B101" s="238"/>
      <c r="C101" s="72">
        <v>26</v>
      </c>
      <c r="D101" s="234" t="s">
        <v>293</v>
      </c>
      <c r="E101" s="233">
        <f>F101-(F101*0.15)</f>
        <v>2567.5864999999999</v>
      </c>
      <c r="F101" s="233">
        <f>352.91+1012.39+1655.39</f>
        <v>3020.69</v>
      </c>
      <c r="G101" s="13"/>
      <c r="H101" s="13"/>
      <c r="I101" s="13"/>
    </row>
    <row r="102" spans="1:9" s="237" customFormat="1">
      <c r="A102" s="236">
        <v>99</v>
      </c>
      <c r="B102" s="235" t="s">
        <v>292</v>
      </c>
      <c r="C102" s="72">
        <v>64</v>
      </c>
      <c r="D102" s="234" t="s">
        <v>291</v>
      </c>
      <c r="E102" s="233">
        <f>F102-(F102*0.15)</f>
        <v>5977.9310000000005</v>
      </c>
      <c r="F102" s="233">
        <f>456.12+3340.84+3235.9</f>
        <v>7032.8600000000006</v>
      </c>
      <c r="G102" s="13"/>
      <c r="H102" s="13"/>
      <c r="I102" s="13"/>
    </row>
    <row r="103" spans="1:9" s="237" customFormat="1">
      <c r="A103" s="236">
        <v>100</v>
      </c>
      <c r="B103" s="235"/>
      <c r="C103" s="72">
        <v>26</v>
      </c>
      <c r="D103" s="234" t="s">
        <v>290</v>
      </c>
      <c r="E103" s="233">
        <f>F103-(F103*0.15)</f>
        <v>3328.7445000000002</v>
      </c>
      <c r="F103" s="233">
        <f>1175.43+2740.74</f>
        <v>3916.17</v>
      </c>
      <c r="G103" s="13"/>
      <c r="H103" s="13"/>
      <c r="I103" s="13"/>
    </row>
    <row r="104" spans="1:9" s="237" customFormat="1">
      <c r="A104" s="236">
        <v>101</v>
      </c>
      <c r="B104" s="235"/>
      <c r="C104" s="72">
        <v>30</v>
      </c>
      <c r="D104" s="234" t="s">
        <v>289</v>
      </c>
      <c r="E104" s="233">
        <f>F104-(F104*0.15)</f>
        <v>4238.6099999999997</v>
      </c>
      <c r="F104" s="233">
        <f>2241.07+2102.67+642.86</f>
        <v>4986.5999999999995</v>
      </c>
      <c r="G104" s="13"/>
      <c r="H104" s="13"/>
      <c r="I104" s="13"/>
    </row>
    <row r="105" spans="1:9" s="237" customFormat="1">
      <c r="A105" s="236">
        <v>102</v>
      </c>
      <c r="B105" s="235"/>
      <c r="C105" s="72">
        <v>52</v>
      </c>
      <c r="D105" s="234" t="s">
        <v>288</v>
      </c>
      <c r="E105" s="233">
        <f>F105-(F105*0.15)</f>
        <v>21806.528999999999</v>
      </c>
      <c r="F105" s="233">
        <f>2000+19744.03+3910.71</f>
        <v>25654.739999999998</v>
      </c>
      <c r="G105" s="13"/>
      <c r="H105" s="13"/>
      <c r="I105" s="13"/>
    </row>
    <row r="106" spans="1:9" s="237" customFormat="1">
      <c r="A106" s="236">
        <v>103</v>
      </c>
      <c r="B106" s="235"/>
      <c r="C106" s="72">
        <v>26</v>
      </c>
      <c r="D106" s="234" t="s">
        <v>273</v>
      </c>
      <c r="E106" s="233">
        <f>F106-(F106*0.15)</f>
        <v>12230.182500000001</v>
      </c>
      <c r="F106" s="233">
        <f>1140.35+11037.58+2210.52</f>
        <v>14388.45</v>
      </c>
      <c r="G106" s="13"/>
      <c r="H106" s="13"/>
      <c r="I106" s="13"/>
    </row>
    <row r="107" spans="1:9" s="237" customFormat="1">
      <c r="A107" s="236">
        <v>104</v>
      </c>
      <c r="B107" s="235"/>
      <c r="C107" s="72">
        <v>54</v>
      </c>
      <c r="D107" s="234" t="s">
        <v>287</v>
      </c>
      <c r="E107" s="233">
        <f>F107-(F107*0.15)</f>
        <v>2106.3084999999996</v>
      </c>
      <c r="F107" s="233">
        <f>1667.77+613.81+196.43</f>
        <v>2478.0099999999998</v>
      </c>
      <c r="G107" s="13"/>
      <c r="H107" s="13"/>
      <c r="I107" s="13"/>
    </row>
    <row r="108" spans="1:9" s="237" customFormat="1">
      <c r="A108" s="236">
        <v>105</v>
      </c>
      <c r="B108" s="235"/>
      <c r="C108" s="72">
        <v>46</v>
      </c>
      <c r="D108" s="234" t="s">
        <v>277</v>
      </c>
      <c r="E108" s="233">
        <f>F108-(F108*0.15)</f>
        <v>1980.0920000000001</v>
      </c>
      <c r="F108" s="233">
        <f>479.82+352.75+1496.95</f>
        <v>2329.52</v>
      </c>
      <c r="G108" s="13"/>
      <c r="H108" s="13"/>
      <c r="I108" s="13"/>
    </row>
    <row r="109" spans="1:9" s="237" customFormat="1">
      <c r="A109" s="236">
        <v>106</v>
      </c>
      <c r="B109" s="235"/>
      <c r="C109" s="72">
        <v>22</v>
      </c>
      <c r="D109" s="234" t="s">
        <v>286</v>
      </c>
      <c r="E109" s="233">
        <f>F109-(F109*0.15)</f>
        <v>990.5474999999999</v>
      </c>
      <c r="F109" s="233">
        <v>1165.3499999999999</v>
      </c>
      <c r="G109" s="13"/>
      <c r="H109" s="13"/>
      <c r="I109" s="13"/>
    </row>
    <row r="110" spans="1:9" s="237" customFormat="1">
      <c r="A110" s="236">
        <v>107</v>
      </c>
      <c r="B110" s="235"/>
      <c r="C110" s="72">
        <v>25</v>
      </c>
      <c r="D110" s="234" t="s">
        <v>285</v>
      </c>
      <c r="E110" s="233">
        <f>F110-(F110*0.15)</f>
        <v>1204.5520000000001</v>
      </c>
      <c r="F110" s="233">
        <f>317+320.68+779.44</f>
        <v>1417.1200000000001</v>
      </c>
      <c r="G110" s="13"/>
      <c r="H110" s="13"/>
      <c r="I110" s="13"/>
    </row>
    <row r="111" spans="1:9" s="237" customFormat="1">
      <c r="A111" s="236">
        <v>108</v>
      </c>
      <c r="B111" s="235"/>
      <c r="C111" s="72">
        <v>35</v>
      </c>
      <c r="D111" s="234" t="s">
        <v>275</v>
      </c>
      <c r="E111" s="233">
        <f>F111-(F111*0.15)</f>
        <v>2894.0715</v>
      </c>
      <c r="F111" s="233">
        <f>219.3+1235.43+1950.06</f>
        <v>3404.79</v>
      </c>
      <c r="G111" s="13"/>
      <c r="H111" s="13"/>
      <c r="I111" s="13"/>
    </row>
    <row r="112" spans="1:9" s="237" customFormat="1">
      <c r="A112" s="236">
        <v>109</v>
      </c>
      <c r="B112" s="235"/>
      <c r="C112" s="72">
        <v>31</v>
      </c>
      <c r="D112" s="234" t="s">
        <v>274</v>
      </c>
      <c r="E112" s="233">
        <f>F112-(F112*0.15)</f>
        <v>2435.7089999999998</v>
      </c>
      <c r="F112" s="233">
        <f>968.36+1474.21+422.97</f>
        <v>2865.54</v>
      </c>
      <c r="G112" s="13"/>
      <c r="H112" s="13"/>
      <c r="I112" s="13"/>
    </row>
    <row r="113" spans="1:9" s="237" customFormat="1">
      <c r="A113" s="236">
        <v>110</v>
      </c>
      <c r="B113" s="235"/>
      <c r="C113" s="72">
        <v>50</v>
      </c>
      <c r="D113" s="234" t="s">
        <v>284</v>
      </c>
      <c r="E113" s="233">
        <f>F113-(F113*0.15)</f>
        <v>5252.3539999999994</v>
      </c>
      <c r="F113" s="233">
        <f>928.56+4366.75+883.93</f>
        <v>6179.24</v>
      </c>
      <c r="G113" s="13"/>
      <c r="H113" s="13"/>
      <c r="I113" s="13"/>
    </row>
    <row r="114" spans="1:9" s="237" customFormat="1">
      <c r="A114" s="236">
        <v>111</v>
      </c>
      <c r="B114" s="235"/>
      <c r="C114" s="72">
        <v>62</v>
      </c>
      <c r="D114" s="234" t="s">
        <v>283</v>
      </c>
      <c r="E114" s="233">
        <f>F114-(F114*0.15)</f>
        <v>6970.6715000000004</v>
      </c>
      <c r="F114" s="233">
        <f>153.51+2504.38+4569.38+973.52</f>
        <v>8200.7900000000009</v>
      </c>
      <c r="G114" s="13"/>
      <c r="H114" s="13"/>
      <c r="I114" s="13"/>
    </row>
    <row r="115" spans="1:9" s="237" customFormat="1">
      <c r="A115" s="236">
        <v>112</v>
      </c>
      <c r="B115" s="235"/>
      <c r="C115" s="72">
        <v>21</v>
      </c>
      <c r="D115" s="234" t="s">
        <v>282</v>
      </c>
      <c r="E115" s="233">
        <f>F115-(F115*0.15)</f>
        <v>2871.8780000000002</v>
      </c>
      <c r="F115" s="233">
        <f>1134.09+2244.59</f>
        <v>3378.6800000000003</v>
      </c>
      <c r="G115" s="13"/>
      <c r="H115" s="13"/>
      <c r="I115" s="13"/>
    </row>
    <row r="116" spans="1:9" s="237" customFormat="1">
      <c r="A116" s="236">
        <v>113</v>
      </c>
      <c r="B116" s="235"/>
      <c r="C116" s="72">
        <v>52</v>
      </c>
      <c r="D116" s="234" t="s">
        <v>281</v>
      </c>
      <c r="E116" s="233">
        <f>F116-(F116*0.15)</f>
        <v>7928.0264999999999</v>
      </c>
      <c r="F116" s="233">
        <f>2547.62+4978.51+1800.96</f>
        <v>9327.09</v>
      </c>
      <c r="G116" s="13"/>
      <c r="H116" s="13"/>
      <c r="I116" s="13"/>
    </row>
    <row r="117" spans="1:9" s="237" customFormat="1">
      <c r="A117" s="236">
        <v>114</v>
      </c>
      <c r="B117" s="235"/>
      <c r="C117" s="72">
        <v>32</v>
      </c>
      <c r="D117" s="234" t="s">
        <v>280</v>
      </c>
      <c r="E117" s="233">
        <f>F117-(F117*0.15)</f>
        <v>6197.35</v>
      </c>
      <c r="F117" s="233">
        <f>4875.15+506.92+1908.93</f>
        <v>7291</v>
      </c>
      <c r="G117" s="13"/>
      <c r="H117" s="13"/>
      <c r="I117" s="13"/>
    </row>
    <row r="118" spans="1:9" s="237" customFormat="1">
      <c r="A118" s="236">
        <v>115</v>
      </c>
      <c r="B118" s="235"/>
      <c r="C118" s="72">
        <v>61</v>
      </c>
      <c r="D118" s="234" t="s">
        <v>279</v>
      </c>
      <c r="E118" s="233">
        <f>F118-(F118*0.15)</f>
        <v>6356.3509999999997</v>
      </c>
      <c r="F118" s="233">
        <f>7032.74+445.32</f>
        <v>7478.0599999999995</v>
      </c>
      <c r="G118" s="13"/>
      <c r="H118" s="13"/>
      <c r="I118" s="13"/>
    </row>
    <row r="119" spans="1:9" s="237" customFormat="1">
      <c r="A119" s="236">
        <v>116</v>
      </c>
      <c r="B119" s="235"/>
      <c r="C119" s="72">
        <v>20</v>
      </c>
      <c r="D119" s="234" t="s">
        <v>278</v>
      </c>
      <c r="E119" s="233">
        <f>F119-(F119*0.15)</f>
        <v>931.82950000000005</v>
      </c>
      <c r="F119" s="233">
        <f>1096.27</f>
        <v>1096.27</v>
      </c>
      <c r="G119" s="13"/>
      <c r="H119" s="13"/>
      <c r="I119" s="13"/>
    </row>
    <row r="120" spans="1:9" s="237" customFormat="1">
      <c r="A120" s="236">
        <v>117</v>
      </c>
      <c r="B120" s="235"/>
      <c r="C120" s="72">
        <v>38</v>
      </c>
      <c r="D120" s="234" t="s">
        <v>277</v>
      </c>
      <c r="E120" s="233">
        <f>F120-(F120*0.15)</f>
        <v>2138.0304999999998</v>
      </c>
      <c r="F120" s="233">
        <f>270+1995.33+250</f>
        <v>2515.33</v>
      </c>
      <c r="G120" s="13"/>
      <c r="H120" s="13"/>
      <c r="I120" s="13"/>
    </row>
    <row r="121" spans="1:9">
      <c r="A121" s="236">
        <v>118</v>
      </c>
      <c r="B121" s="235"/>
      <c r="C121" s="72">
        <v>30</v>
      </c>
      <c r="D121" s="234" t="s">
        <v>276</v>
      </c>
      <c r="E121" s="233">
        <f>F121-(F121*0.15)</f>
        <v>1772.4455</v>
      </c>
      <c r="F121" s="233">
        <f>1962.83+122.4</f>
        <v>2085.23</v>
      </c>
    </row>
    <row r="122" spans="1:9">
      <c r="A122" s="236">
        <v>119</v>
      </c>
      <c r="B122" s="235"/>
      <c r="C122" s="72">
        <v>20</v>
      </c>
      <c r="D122" s="234" t="s">
        <v>275</v>
      </c>
      <c r="E122" s="233">
        <f>F122-(F122*0.15)</f>
        <v>1847.9679999999998</v>
      </c>
      <c r="F122" s="233">
        <f>232.14+870.53+1071.41</f>
        <v>2174.08</v>
      </c>
    </row>
    <row r="123" spans="1:9">
      <c r="A123" s="236">
        <v>120</v>
      </c>
      <c r="B123" s="235"/>
      <c r="C123" s="72">
        <v>24</v>
      </c>
      <c r="D123" s="234" t="s">
        <v>274</v>
      </c>
      <c r="E123" s="233">
        <f>F123-(F123*0.15)</f>
        <v>2342.8804999999998</v>
      </c>
      <c r="F123" s="233">
        <f>632.12+839.28+1284.93</f>
        <v>2756.33</v>
      </c>
    </row>
    <row r="124" spans="1:9">
      <c r="A124" s="236">
        <v>121</v>
      </c>
      <c r="B124" s="235"/>
      <c r="C124" s="72">
        <v>34</v>
      </c>
      <c r="D124" s="234" t="s">
        <v>273</v>
      </c>
      <c r="E124" s="233">
        <f>F124-(F124*0.15)</f>
        <v>13643.128999999999</v>
      </c>
      <c r="F124" s="233">
        <f>8540.71+7510.03</f>
        <v>16050.739999999998</v>
      </c>
    </row>
    <row r="125" spans="1:9">
      <c r="A125" s="236">
        <v>122</v>
      </c>
      <c r="B125" s="235"/>
      <c r="C125" s="72">
        <v>65</v>
      </c>
      <c r="D125" s="234" t="s">
        <v>272</v>
      </c>
      <c r="E125" s="233">
        <f>F125-(F125*0.15)</f>
        <v>26094.081999999999</v>
      </c>
      <c r="F125" s="233">
        <f>4813.13+20956.6+4929.19</f>
        <v>30698.92</v>
      </c>
    </row>
    <row r="126" spans="1:9" s="18" customFormat="1">
      <c r="A126" s="232"/>
      <c r="B126" s="232"/>
      <c r="C126" s="230"/>
      <c r="D126" s="230"/>
      <c r="E126" s="229"/>
      <c r="F126" s="229"/>
    </row>
    <row r="127" spans="1:9" s="18" customFormat="1">
      <c r="A127" s="232"/>
      <c r="B127" s="232"/>
      <c r="C127" s="230"/>
      <c r="D127" s="230"/>
      <c r="E127" s="229"/>
      <c r="F127" s="229"/>
    </row>
    <row r="128" spans="1:9" s="18" customFormat="1">
      <c r="A128" s="231"/>
      <c r="B128" s="231"/>
      <c r="C128" s="230"/>
      <c r="D128" s="230"/>
      <c r="E128" s="229"/>
      <c r="F128" s="229"/>
    </row>
    <row r="129" spans="1:6" s="18" customFormat="1">
      <c r="A129" s="231"/>
      <c r="B129" s="231"/>
      <c r="C129" s="230"/>
      <c r="D129" s="230"/>
      <c r="E129" s="229"/>
      <c r="F129" s="229"/>
    </row>
    <row r="130" spans="1:6" s="18" customFormat="1">
      <c r="A130" s="231"/>
      <c r="B130" s="231"/>
      <c r="C130" s="230"/>
      <c r="D130" s="230"/>
      <c r="E130" s="229"/>
      <c r="F130" s="229"/>
    </row>
    <row r="131" spans="1:6" s="18" customFormat="1">
      <c r="A131" s="231"/>
      <c r="B131" s="231"/>
      <c r="C131" s="230"/>
      <c r="D131" s="230"/>
      <c r="E131" s="229"/>
      <c r="F131" s="229"/>
    </row>
    <row r="132" spans="1:6" s="18" customFormat="1">
      <c r="A132" s="231"/>
      <c r="B132" s="231"/>
      <c r="C132" s="230"/>
      <c r="D132" s="230"/>
      <c r="E132" s="229"/>
      <c r="F132" s="229"/>
    </row>
    <row r="133" spans="1:6" s="18" customFormat="1">
      <c r="A133" s="231"/>
      <c r="B133" s="231"/>
      <c r="C133" s="230"/>
      <c r="D133" s="230"/>
      <c r="E133" s="229"/>
      <c r="F133" s="229"/>
    </row>
    <row r="134" spans="1:6" s="18" customFormat="1">
      <c r="A134" s="231"/>
      <c r="B134" s="231"/>
      <c r="C134" s="230"/>
      <c r="D134" s="230"/>
      <c r="E134" s="229"/>
      <c r="F134" s="229"/>
    </row>
    <row r="135" spans="1:6" s="18" customFormat="1">
      <c r="A135" s="231"/>
      <c r="B135" s="231"/>
      <c r="C135" s="230"/>
      <c r="D135" s="230"/>
      <c r="E135" s="229"/>
      <c r="F135" s="229"/>
    </row>
    <row r="136" spans="1:6" s="18" customFormat="1">
      <c r="A136" s="231"/>
      <c r="B136" s="231"/>
      <c r="C136" s="230"/>
      <c r="D136" s="230"/>
      <c r="E136" s="229"/>
      <c r="F136" s="229"/>
    </row>
    <row r="137" spans="1:6" s="18" customFormat="1">
      <c r="A137" s="231"/>
      <c r="B137" s="231"/>
      <c r="C137" s="230"/>
      <c r="D137" s="230"/>
      <c r="E137" s="229"/>
      <c r="F137" s="229"/>
    </row>
    <row r="138" spans="1:6" s="18" customFormat="1">
      <c r="A138" s="231"/>
      <c r="B138" s="231"/>
      <c r="C138" s="230"/>
      <c r="D138" s="230"/>
      <c r="E138" s="229"/>
      <c r="F138" s="229"/>
    </row>
    <row r="139" spans="1:6" s="18" customFormat="1">
      <c r="A139" s="231"/>
      <c r="B139" s="231"/>
      <c r="C139" s="230"/>
      <c r="D139" s="230"/>
      <c r="E139" s="229"/>
      <c r="F139" s="229"/>
    </row>
    <row r="140" spans="1:6" s="18" customFormat="1">
      <c r="A140" s="231"/>
      <c r="B140" s="231"/>
      <c r="C140" s="230"/>
      <c r="D140" s="230"/>
      <c r="E140" s="229"/>
      <c r="F140" s="229"/>
    </row>
    <row r="141" spans="1:6" s="18" customFormat="1">
      <c r="A141" s="231"/>
      <c r="B141" s="231"/>
      <c r="C141" s="230"/>
      <c r="D141" s="230"/>
      <c r="E141" s="229"/>
      <c r="F141" s="229"/>
    </row>
    <row r="142" spans="1:6" s="18" customFormat="1">
      <c r="A142" s="231"/>
      <c r="B142" s="231"/>
      <c r="C142" s="230"/>
      <c r="D142" s="230"/>
      <c r="E142" s="229"/>
      <c r="F142" s="229"/>
    </row>
    <row r="143" spans="1:6" s="18" customFormat="1">
      <c r="A143" s="231"/>
      <c r="B143" s="231"/>
      <c r="C143" s="230"/>
      <c r="D143" s="230"/>
      <c r="E143" s="229"/>
      <c r="F143" s="229"/>
    </row>
    <row r="144" spans="1:6" s="18" customFormat="1">
      <c r="A144" s="231"/>
      <c r="B144" s="231"/>
      <c r="C144" s="230"/>
      <c r="D144" s="230"/>
      <c r="E144" s="229"/>
      <c r="F144" s="229"/>
    </row>
    <row r="145" spans="1:6" s="18" customFormat="1">
      <c r="A145" s="231"/>
      <c r="B145" s="231"/>
      <c r="C145" s="230"/>
      <c r="D145" s="230"/>
      <c r="E145" s="229"/>
      <c r="F145" s="229"/>
    </row>
    <row r="146" spans="1:6" s="18" customFormat="1">
      <c r="A146" s="231"/>
      <c r="B146" s="231"/>
      <c r="C146" s="230"/>
      <c r="D146" s="230"/>
      <c r="E146" s="229"/>
      <c r="F146" s="229"/>
    </row>
    <row r="147" spans="1:6" s="18" customFormat="1">
      <c r="A147" s="231"/>
      <c r="B147" s="231"/>
      <c r="C147" s="230"/>
      <c r="D147" s="230"/>
      <c r="E147" s="229"/>
      <c r="F147" s="229"/>
    </row>
    <row r="148" spans="1:6" s="18" customFormat="1">
      <c r="A148" s="231"/>
      <c r="B148" s="231"/>
      <c r="C148" s="230"/>
      <c r="D148" s="230"/>
      <c r="E148" s="229"/>
      <c r="F148" s="229"/>
    </row>
    <row r="149" spans="1:6" s="18" customFormat="1">
      <c r="A149" s="231"/>
      <c r="B149" s="231"/>
      <c r="C149" s="230"/>
      <c r="D149" s="230"/>
      <c r="E149" s="229"/>
      <c r="F149" s="229"/>
    </row>
    <row r="150" spans="1:6" s="18" customFormat="1">
      <c r="A150" s="231"/>
      <c r="B150" s="231"/>
      <c r="C150" s="230"/>
      <c r="D150" s="230"/>
      <c r="E150" s="229"/>
      <c r="F150" s="229"/>
    </row>
    <row r="151" spans="1:6" s="18" customFormat="1">
      <c r="A151" s="231"/>
      <c r="B151" s="231"/>
      <c r="C151" s="230"/>
      <c r="D151" s="230"/>
      <c r="E151" s="229"/>
      <c r="F151" s="229"/>
    </row>
    <row r="152" spans="1:6" s="18" customFormat="1">
      <c r="A152" s="231"/>
      <c r="B152" s="231"/>
      <c r="C152" s="230"/>
      <c r="D152" s="230"/>
      <c r="E152" s="229"/>
      <c r="F152" s="229"/>
    </row>
    <row r="153" spans="1:6" s="18" customFormat="1">
      <c r="A153" s="231"/>
      <c r="B153" s="231"/>
      <c r="C153" s="230"/>
      <c r="D153" s="230"/>
      <c r="E153" s="229"/>
      <c r="F153" s="229"/>
    </row>
    <row r="154" spans="1:6" s="18" customFormat="1">
      <c r="A154" s="231"/>
      <c r="B154" s="231"/>
      <c r="C154" s="230"/>
      <c r="D154" s="230"/>
      <c r="E154" s="229"/>
      <c r="F154" s="229"/>
    </row>
    <row r="155" spans="1:6" s="18" customFormat="1">
      <c r="A155" s="231"/>
      <c r="B155" s="231"/>
      <c r="C155" s="230"/>
      <c r="D155" s="230"/>
      <c r="E155" s="229"/>
      <c r="F155" s="229"/>
    </row>
    <row r="156" spans="1:6" s="18" customFormat="1">
      <c r="A156" s="231"/>
      <c r="B156" s="231"/>
      <c r="C156" s="230"/>
      <c r="D156" s="230"/>
      <c r="E156" s="229"/>
      <c r="F156" s="229"/>
    </row>
    <row r="157" spans="1:6" s="18" customFormat="1">
      <c r="A157" s="231"/>
      <c r="B157" s="231"/>
      <c r="C157" s="230"/>
      <c r="D157" s="230"/>
      <c r="E157" s="229"/>
      <c r="F157" s="229"/>
    </row>
    <row r="158" spans="1:6" s="18" customFormat="1">
      <c r="A158" s="231"/>
      <c r="B158" s="231"/>
      <c r="C158" s="230"/>
      <c r="D158" s="230"/>
      <c r="E158" s="229"/>
      <c r="F158" s="229"/>
    </row>
    <row r="159" spans="1:6" s="18" customFormat="1">
      <c r="A159" s="231"/>
      <c r="B159" s="231"/>
      <c r="C159" s="230"/>
      <c r="D159" s="230"/>
      <c r="E159" s="229"/>
      <c r="F159" s="229"/>
    </row>
    <row r="160" spans="1:6" s="18" customFormat="1">
      <c r="A160" s="231"/>
      <c r="B160" s="231"/>
      <c r="C160" s="230"/>
      <c r="D160" s="230"/>
      <c r="E160" s="229"/>
      <c r="F160" s="229"/>
    </row>
    <row r="161" spans="1:6" s="18" customFormat="1">
      <c r="A161" s="231"/>
      <c r="B161" s="231"/>
      <c r="C161" s="230"/>
      <c r="D161" s="230"/>
      <c r="E161" s="229"/>
      <c r="F161" s="229"/>
    </row>
    <row r="162" spans="1:6" s="18" customFormat="1">
      <c r="A162" s="231"/>
      <c r="B162" s="231"/>
      <c r="C162" s="230"/>
      <c r="D162" s="230"/>
      <c r="E162" s="229"/>
      <c r="F162" s="229"/>
    </row>
    <row r="163" spans="1:6" s="18" customFormat="1">
      <c r="A163" s="231"/>
      <c r="B163" s="231"/>
      <c r="C163" s="230"/>
      <c r="D163" s="230"/>
      <c r="E163" s="229"/>
      <c r="F163" s="229"/>
    </row>
    <row r="164" spans="1:6" s="18" customFormat="1">
      <c r="A164" s="231"/>
      <c r="B164" s="231"/>
      <c r="C164" s="230"/>
      <c r="D164" s="230"/>
      <c r="E164" s="229"/>
      <c r="F164" s="229"/>
    </row>
    <row r="165" spans="1:6" s="18" customFormat="1">
      <c r="A165" s="231"/>
      <c r="B165" s="231"/>
      <c r="C165" s="230"/>
      <c r="D165" s="230"/>
      <c r="E165" s="229"/>
      <c r="F165" s="229"/>
    </row>
    <row r="166" spans="1:6" s="18" customFormat="1">
      <c r="A166" s="231"/>
      <c r="B166" s="231"/>
      <c r="C166" s="230"/>
      <c r="D166" s="230"/>
      <c r="E166" s="229"/>
      <c r="F166" s="229"/>
    </row>
    <row r="167" spans="1:6" s="18" customFormat="1">
      <c r="A167" s="231"/>
      <c r="B167" s="231"/>
      <c r="C167" s="230"/>
      <c r="D167" s="230"/>
      <c r="E167" s="229"/>
      <c r="F167" s="229"/>
    </row>
    <row r="168" spans="1:6" s="18" customFormat="1">
      <c r="A168" s="231"/>
      <c r="B168" s="231"/>
      <c r="C168" s="230"/>
      <c r="D168" s="230"/>
      <c r="E168" s="229"/>
      <c r="F168" s="229"/>
    </row>
    <row r="169" spans="1:6" s="18" customFormat="1">
      <c r="A169" s="231"/>
      <c r="B169" s="231"/>
      <c r="C169" s="230"/>
      <c r="D169" s="230"/>
      <c r="E169" s="229"/>
      <c r="F169" s="229"/>
    </row>
    <row r="170" spans="1:6" s="18" customFormat="1">
      <c r="A170" s="231"/>
      <c r="B170" s="231"/>
      <c r="C170" s="230"/>
      <c r="D170" s="230"/>
      <c r="E170" s="229"/>
      <c r="F170" s="229"/>
    </row>
    <row r="171" spans="1:6" s="18" customFormat="1">
      <c r="A171" s="231"/>
      <c r="B171" s="231"/>
      <c r="C171" s="230"/>
      <c r="D171" s="230"/>
      <c r="E171" s="229"/>
      <c r="F171" s="229"/>
    </row>
    <row r="172" spans="1:6" s="18" customFormat="1">
      <c r="A172" s="231"/>
      <c r="B172" s="231"/>
      <c r="C172" s="230"/>
      <c r="D172" s="230"/>
      <c r="E172" s="229"/>
      <c r="F172" s="229"/>
    </row>
    <row r="173" spans="1:6" s="18" customFormat="1">
      <c r="A173" s="231"/>
      <c r="B173" s="231"/>
      <c r="C173" s="230"/>
      <c r="D173" s="230"/>
      <c r="E173" s="229"/>
      <c r="F173" s="229"/>
    </row>
    <row r="174" spans="1:6" s="18" customFormat="1">
      <c r="A174" s="231"/>
      <c r="B174" s="231"/>
      <c r="C174" s="230"/>
      <c r="D174" s="230"/>
      <c r="E174" s="229"/>
      <c r="F174" s="229"/>
    </row>
    <row r="175" spans="1:6" s="18" customFormat="1">
      <c r="A175" s="231"/>
      <c r="B175" s="231"/>
      <c r="C175" s="230"/>
      <c r="D175" s="230"/>
      <c r="E175" s="229"/>
      <c r="F175" s="229"/>
    </row>
    <row r="176" spans="1:6" s="18" customFormat="1">
      <c r="A176" s="231"/>
      <c r="B176" s="231"/>
      <c r="C176" s="230"/>
      <c r="D176" s="230"/>
      <c r="E176" s="229"/>
      <c r="F176" s="229"/>
    </row>
    <row r="177" spans="1:6" s="18" customFormat="1">
      <c r="A177" s="231"/>
      <c r="B177" s="231"/>
      <c r="C177" s="230"/>
      <c r="D177" s="230"/>
      <c r="E177" s="229"/>
      <c r="F177" s="229"/>
    </row>
    <row r="178" spans="1:6" s="18" customFormat="1">
      <c r="A178" s="231"/>
      <c r="B178" s="231"/>
      <c r="C178" s="230"/>
      <c r="D178" s="230"/>
      <c r="E178" s="229"/>
      <c r="F178" s="229"/>
    </row>
    <row r="179" spans="1:6" s="18" customFormat="1">
      <c r="A179" s="231"/>
      <c r="B179" s="231"/>
      <c r="C179" s="230"/>
      <c r="D179" s="230"/>
      <c r="E179" s="229"/>
      <c r="F179" s="229"/>
    </row>
    <row r="180" spans="1:6" s="18" customFormat="1">
      <c r="A180" s="231"/>
      <c r="B180" s="231"/>
      <c r="C180" s="230"/>
      <c r="D180" s="230"/>
      <c r="E180" s="229"/>
      <c r="F180" s="229"/>
    </row>
    <row r="181" spans="1:6" s="18" customFormat="1">
      <c r="A181" s="231"/>
      <c r="B181" s="231"/>
      <c r="C181" s="230"/>
      <c r="D181" s="230"/>
      <c r="E181" s="229"/>
      <c r="F181" s="229"/>
    </row>
    <row r="182" spans="1:6" s="18" customFormat="1">
      <c r="A182" s="231"/>
      <c r="B182" s="231"/>
      <c r="C182" s="230"/>
      <c r="D182" s="230"/>
      <c r="E182" s="229"/>
      <c r="F182" s="229"/>
    </row>
    <row r="183" spans="1:6" s="18" customFormat="1">
      <c r="A183" s="231"/>
      <c r="B183" s="231"/>
      <c r="C183" s="230"/>
      <c r="D183" s="230"/>
      <c r="E183" s="229"/>
      <c r="F183" s="229"/>
    </row>
    <row r="184" spans="1:6" s="18" customFormat="1">
      <c r="A184" s="231"/>
      <c r="B184" s="231"/>
      <c r="C184" s="230"/>
      <c r="D184" s="230"/>
      <c r="E184" s="229"/>
      <c r="F184" s="229"/>
    </row>
    <row r="185" spans="1:6" s="18" customFormat="1">
      <c r="A185" s="231"/>
      <c r="B185" s="231"/>
      <c r="C185" s="230"/>
      <c r="D185" s="230"/>
      <c r="E185" s="229"/>
      <c r="F185" s="229"/>
    </row>
    <row r="186" spans="1:6" s="18" customFormat="1">
      <c r="A186" s="231"/>
      <c r="B186" s="231"/>
      <c r="C186" s="230"/>
      <c r="D186" s="230"/>
      <c r="E186" s="229"/>
      <c r="F186" s="229"/>
    </row>
    <row r="187" spans="1:6" s="18" customFormat="1">
      <c r="A187" s="231"/>
      <c r="B187" s="231"/>
      <c r="C187" s="230"/>
      <c r="D187" s="230"/>
      <c r="E187" s="229"/>
      <c r="F187" s="229"/>
    </row>
    <row r="188" spans="1:6" s="18" customFormat="1">
      <c r="A188" s="231"/>
      <c r="B188" s="231"/>
      <c r="C188" s="230"/>
      <c r="D188" s="230"/>
      <c r="E188" s="229"/>
      <c r="F188" s="229"/>
    </row>
    <row r="189" spans="1:6" s="18" customFormat="1">
      <c r="A189" s="231"/>
      <c r="B189" s="231"/>
      <c r="C189" s="230"/>
      <c r="D189" s="230"/>
      <c r="E189" s="229"/>
      <c r="F189" s="229"/>
    </row>
    <row r="190" spans="1:6" s="18" customFormat="1">
      <c r="A190" s="231"/>
      <c r="B190" s="231"/>
      <c r="C190" s="230"/>
      <c r="D190" s="230"/>
      <c r="E190" s="229"/>
      <c r="F190" s="229"/>
    </row>
    <row r="191" spans="1:6" s="18" customFormat="1">
      <c r="A191" s="231"/>
      <c r="B191" s="231"/>
      <c r="C191" s="230"/>
      <c r="D191" s="230"/>
      <c r="E191" s="229"/>
      <c r="F191" s="229"/>
    </row>
    <row r="192" spans="1:6" s="18" customFormat="1">
      <c r="A192" s="231"/>
      <c r="B192" s="231"/>
      <c r="C192" s="230"/>
      <c r="D192" s="230"/>
      <c r="E192" s="229"/>
      <c r="F192" s="229"/>
    </row>
    <row r="193" spans="1:6" s="18" customFormat="1">
      <c r="A193" s="231"/>
      <c r="B193" s="231"/>
      <c r="C193" s="230"/>
      <c r="D193" s="230"/>
      <c r="E193" s="229"/>
      <c r="F193" s="229"/>
    </row>
    <row r="194" spans="1:6" s="18" customFormat="1">
      <c r="A194" s="231"/>
      <c r="B194" s="231"/>
      <c r="C194" s="230"/>
      <c r="D194" s="230"/>
      <c r="E194" s="229"/>
      <c r="F194" s="229"/>
    </row>
    <row r="195" spans="1:6" s="18" customFormat="1">
      <c r="A195" s="231"/>
      <c r="B195" s="231"/>
      <c r="C195" s="230"/>
      <c r="D195" s="230"/>
      <c r="E195" s="229"/>
      <c r="F195" s="229"/>
    </row>
    <row r="196" spans="1:6" s="18" customFormat="1">
      <c r="A196" s="231"/>
      <c r="B196" s="231"/>
      <c r="C196" s="230"/>
      <c r="D196" s="230"/>
      <c r="E196" s="229"/>
      <c r="F196" s="229"/>
    </row>
    <row r="197" spans="1:6" s="18" customFormat="1">
      <c r="A197" s="231"/>
      <c r="B197" s="231"/>
      <c r="C197" s="230"/>
      <c r="D197" s="230"/>
      <c r="E197" s="229"/>
      <c r="F197" s="229"/>
    </row>
    <row r="198" spans="1:6" s="18" customFormat="1">
      <c r="A198" s="231"/>
      <c r="B198" s="231"/>
      <c r="C198" s="230"/>
      <c r="D198" s="230"/>
      <c r="E198" s="229"/>
      <c r="F198" s="229"/>
    </row>
    <row r="199" spans="1:6" s="18" customFormat="1">
      <c r="A199" s="231"/>
      <c r="B199" s="231"/>
      <c r="C199" s="230"/>
      <c r="D199" s="230"/>
      <c r="E199" s="229"/>
      <c r="F199" s="229"/>
    </row>
    <row r="200" spans="1:6" s="18" customFormat="1">
      <c r="A200" s="231"/>
      <c r="B200" s="231"/>
      <c r="C200" s="230"/>
      <c r="D200" s="230"/>
      <c r="E200" s="229"/>
      <c r="F200" s="229"/>
    </row>
    <row r="201" spans="1:6" s="18" customFormat="1">
      <c r="A201" s="231"/>
      <c r="B201" s="231"/>
      <c r="C201" s="230"/>
      <c r="D201" s="230"/>
      <c r="E201" s="229"/>
      <c r="F201" s="229"/>
    </row>
    <row r="202" spans="1:6" s="18" customFormat="1">
      <c r="A202" s="231"/>
      <c r="B202" s="231"/>
      <c r="C202" s="230"/>
      <c r="D202" s="230"/>
      <c r="E202" s="229"/>
      <c r="F202" s="229"/>
    </row>
    <row r="203" spans="1:6" s="18" customFormat="1">
      <c r="A203" s="231"/>
      <c r="B203" s="231"/>
      <c r="C203" s="230"/>
      <c r="D203" s="230"/>
      <c r="E203" s="229"/>
      <c r="F203" s="229"/>
    </row>
    <row r="204" spans="1:6" s="18" customFormat="1">
      <c r="A204" s="231"/>
      <c r="B204" s="231"/>
      <c r="C204" s="230"/>
      <c r="D204" s="230"/>
      <c r="E204" s="229"/>
      <c r="F204" s="229"/>
    </row>
    <row r="205" spans="1:6" s="18" customFormat="1">
      <c r="A205" s="231"/>
      <c r="B205" s="231"/>
      <c r="C205" s="230"/>
      <c r="D205" s="230"/>
      <c r="E205" s="229"/>
      <c r="F205" s="229"/>
    </row>
    <row r="206" spans="1:6" s="18" customFormat="1">
      <c r="A206" s="231"/>
      <c r="B206" s="231"/>
      <c r="C206" s="230"/>
      <c r="D206" s="230"/>
      <c r="E206" s="229"/>
      <c r="F206" s="229"/>
    </row>
    <row r="207" spans="1:6" s="18" customFormat="1">
      <c r="A207" s="231"/>
      <c r="B207" s="231"/>
      <c r="C207" s="230"/>
      <c r="D207" s="230"/>
      <c r="E207" s="229"/>
      <c r="F207" s="229"/>
    </row>
    <row r="208" spans="1:6" s="18" customFormat="1">
      <c r="A208" s="231"/>
      <c r="B208" s="231"/>
      <c r="C208" s="230"/>
      <c r="D208" s="230"/>
      <c r="E208" s="229"/>
      <c r="F208" s="229"/>
    </row>
    <row r="209" spans="1:6" s="18" customFormat="1">
      <c r="A209" s="231"/>
      <c r="B209" s="231"/>
      <c r="C209" s="230"/>
      <c r="D209" s="230"/>
      <c r="E209" s="229"/>
      <c r="F209" s="229"/>
    </row>
    <row r="210" spans="1:6" s="18" customFormat="1">
      <c r="A210" s="231"/>
      <c r="B210" s="231"/>
      <c r="C210" s="230"/>
      <c r="D210" s="230"/>
      <c r="E210" s="229"/>
      <c r="F210" s="229"/>
    </row>
    <row r="211" spans="1:6" s="18" customFormat="1">
      <c r="A211" s="231"/>
      <c r="B211" s="231"/>
      <c r="C211" s="230"/>
      <c r="D211" s="230"/>
      <c r="E211" s="229"/>
      <c r="F211" s="229"/>
    </row>
    <row r="212" spans="1:6" s="18" customFormat="1">
      <c r="A212" s="231"/>
      <c r="B212" s="231"/>
      <c r="C212" s="230"/>
      <c r="D212" s="230"/>
      <c r="E212" s="229"/>
      <c r="F212" s="229"/>
    </row>
    <row r="213" spans="1:6" s="18" customFormat="1">
      <c r="A213" s="231"/>
      <c r="B213" s="231"/>
      <c r="C213" s="230"/>
      <c r="D213" s="230"/>
      <c r="E213" s="229"/>
      <c r="F213" s="229"/>
    </row>
    <row r="214" spans="1:6" s="18" customFormat="1">
      <c r="A214" s="231"/>
      <c r="B214" s="231"/>
      <c r="C214" s="230"/>
      <c r="D214" s="230"/>
      <c r="E214" s="229"/>
      <c r="F214" s="229"/>
    </row>
    <row r="215" spans="1:6" s="18" customFormat="1">
      <c r="A215" s="231"/>
      <c r="B215" s="231"/>
      <c r="C215" s="230"/>
      <c r="D215" s="230"/>
      <c r="E215" s="229"/>
      <c r="F215" s="229"/>
    </row>
    <row r="216" spans="1:6" s="18" customFormat="1">
      <c r="A216" s="231"/>
      <c r="B216" s="231"/>
      <c r="C216" s="230"/>
      <c r="D216" s="230"/>
      <c r="E216" s="229"/>
      <c r="F216" s="229"/>
    </row>
    <row r="217" spans="1:6" s="18" customFormat="1">
      <c r="A217" s="231"/>
      <c r="B217" s="231"/>
      <c r="C217" s="230"/>
      <c r="D217" s="230"/>
      <c r="E217" s="229"/>
      <c r="F217" s="229"/>
    </row>
    <row r="218" spans="1:6" s="18" customFormat="1">
      <c r="A218" s="231"/>
      <c r="B218" s="231"/>
      <c r="C218" s="230"/>
      <c r="D218" s="230"/>
      <c r="E218" s="229"/>
      <c r="F218" s="229"/>
    </row>
    <row r="219" spans="1:6" s="18" customFormat="1">
      <c r="A219" s="231"/>
      <c r="B219" s="231"/>
      <c r="C219" s="230"/>
      <c r="D219" s="230"/>
      <c r="E219" s="229"/>
      <c r="F219" s="229"/>
    </row>
    <row r="220" spans="1:6" s="18" customFormat="1">
      <c r="A220" s="231"/>
      <c r="B220" s="231"/>
      <c r="C220" s="230"/>
      <c r="D220" s="230"/>
      <c r="E220" s="229"/>
      <c r="F220" s="229"/>
    </row>
    <row r="221" spans="1:6" s="18" customFormat="1">
      <c r="A221" s="231"/>
      <c r="B221" s="231"/>
      <c r="C221" s="230"/>
      <c r="D221" s="230"/>
      <c r="E221" s="229"/>
      <c r="F221" s="229"/>
    </row>
    <row r="222" spans="1:6" s="18" customFormat="1">
      <c r="A222" s="231"/>
      <c r="B222" s="231"/>
      <c r="C222" s="230"/>
      <c r="D222" s="230"/>
      <c r="E222" s="229"/>
      <c r="F222" s="229"/>
    </row>
    <row r="223" spans="1:6" s="18" customFormat="1">
      <c r="A223" s="231"/>
      <c r="B223" s="231"/>
      <c r="C223" s="230"/>
      <c r="D223" s="230"/>
      <c r="E223" s="229"/>
      <c r="F223" s="229"/>
    </row>
    <row r="224" spans="1:6" s="18" customFormat="1">
      <c r="A224" s="231"/>
      <c r="B224" s="231"/>
      <c r="C224" s="230"/>
      <c r="D224" s="230"/>
      <c r="E224" s="229"/>
      <c r="F224" s="229"/>
    </row>
    <row r="225" spans="1:6" s="18" customFormat="1">
      <c r="A225" s="231"/>
      <c r="B225" s="231"/>
      <c r="C225" s="230"/>
      <c r="D225" s="230"/>
      <c r="E225" s="229"/>
      <c r="F225" s="229"/>
    </row>
    <row r="226" spans="1:6" s="18" customFormat="1">
      <c r="A226" s="231"/>
      <c r="B226" s="231"/>
      <c r="C226" s="230"/>
      <c r="D226" s="230"/>
      <c r="E226" s="229"/>
      <c r="F226" s="229"/>
    </row>
    <row r="227" spans="1:6" s="18" customFormat="1">
      <c r="A227" s="231"/>
      <c r="B227" s="231"/>
      <c r="C227" s="230"/>
      <c r="D227" s="230"/>
      <c r="E227" s="229"/>
      <c r="F227" s="229"/>
    </row>
    <row r="228" spans="1:6" s="18" customFormat="1">
      <c r="A228" s="231"/>
      <c r="B228" s="231"/>
      <c r="C228" s="230"/>
      <c r="D228" s="230"/>
      <c r="E228" s="229"/>
      <c r="F228" s="229"/>
    </row>
    <row r="229" spans="1:6" s="18" customFormat="1">
      <c r="A229" s="231"/>
      <c r="B229" s="231"/>
      <c r="C229" s="230"/>
      <c r="D229" s="230"/>
      <c r="E229" s="229"/>
      <c r="F229" s="229"/>
    </row>
    <row r="230" spans="1:6" s="18" customFormat="1">
      <c r="A230" s="231"/>
      <c r="B230" s="231"/>
      <c r="C230" s="230"/>
      <c r="D230" s="230"/>
      <c r="E230" s="229"/>
      <c r="F230" s="229"/>
    </row>
    <row r="231" spans="1:6" s="18" customFormat="1">
      <c r="A231" s="231"/>
      <c r="B231" s="231"/>
      <c r="C231" s="230"/>
      <c r="D231" s="230"/>
      <c r="E231" s="229"/>
      <c r="F231" s="229"/>
    </row>
    <row r="232" spans="1:6" s="18" customFormat="1">
      <c r="A232" s="231"/>
      <c r="B232" s="231"/>
      <c r="C232" s="230"/>
      <c r="D232" s="230"/>
      <c r="E232" s="229"/>
      <c r="F232" s="229"/>
    </row>
    <row r="233" spans="1:6" s="18" customFormat="1">
      <c r="A233" s="231"/>
      <c r="B233" s="231"/>
      <c r="C233" s="230"/>
      <c r="D233" s="230"/>
      <c r="E233" s="229"/>
      <c r="F233" s="229"/>
    </row>
    <row r="234" spans="1:6" s="18" customFormat="1">
      <c r="A234" s="231"/>
      <c r="B234" s="231"/>
      <c r="C234" s="230"/>
      <c r="D234" s="230"/>
      <c r="E234" s="229"/>
      <c r="F234" s="229"/>
    </row>
    <row r="235" spans="1:6" s="18" customFormat="1">
      <c r="A235" s="231"/>
      <c r="B235" s="231"/>
      <c r="C235" s="230"/>
      <c r="D235" s="230"/>
      <c r="E235" s="229"/>
      <c r="F235" s="229"/>
    </row>
    <row r="236" spans="1:6" s="18" customFormat="1">
      <c r="A236" s="231"/>
      <c r="B236" s="231"/>
      <c r="C236" s="230"/>
      <c r="D236" s="230"/>
      <c r="E236" s="229"/>
      <c r="F236" s="229"/>
    </row>
    <row r="237" spans="1:6" s="18" customFormat="1">
      <c r="A237" s="231"/>
      <c r="B237" s="231"/>
      <c r="C237" s="230"/>
      <c r="D237" s="230"/>
      <c r="E237" s="229"/>
      <c r="F237" s="229"/>
    </row>
    <row r="238" spans="1:6" s="18" customFormat="1">
      <c r="A238" s="231"/>
      <c r="B238" s="231"/>
      <c r="C238" s="230"/>
      <c r="D238" s="230"/>
      <c r="E238" s="229"/>
      <c r="F238" s="229"/>
    </row>
    <row r="239" spans="1:6" s="18" customFormat="1">
      <c r="A239" s="231"/>
      <c r="B239" s="231"/>
      <c r="C239" s="230"/>
      <c r="D239" s="230"/>
      <c r="E239" s="229"/>
      <c r="F239" s="229"/>
    </row>
    <row r="240" spans="1:6" s="18" customFormat="1">
      <c r="A240" s="231"/>
      <c r="B240" s="231"/>
      <c r="C240" s="230"/>
      <c r="D240" s="230"/>
      <c r="E240" s="229"/>
      <c r="F240" s="229"/>
    </row>
    <row r="241" spans="1:6" s="18" customFormat="1">
      <c r="A241" s="231"/>
      <c r="B241" s="231"/>
      <c r="C241" s="230"/>
      <c r="D241" s="230"/>
      <c r="E241" s="229"/>
      <c r="F241" s="229"/>
    </row>
    <row r="242" spans="1:6" s="18" customFormat="1">
      <c r="A242" s="231"/>
      <c r="B242" s="231"/>
      <c r="C242" s="230"/>
      <c r="D242" s="230"/>
      <c r="E242" s="229"/>
      <c r="F242" s="229"/>
    </row>
    <row r="243" spans="1:6" s="18" customFormat="1">
      <c r="A243" s="231"/>
      <c r="B243" s="231"/>
      <c r="C243" s="230"/>
      <c r="D243" s="230"/>
      <c r="E243" s="229"/>
      <c r="F243" s="229"/>
    </row>
    <row r="244" spans="1:6" s="18" customFormat="1">
      <c r="A244" s="231"/>
      <c r="B244" s="231"/>
      <c r="C244" s="230"/>
      <c r="D244" s="230"/>
      <c r="E244" s="229"/>
      <c r="F244" s="229"/>
    </row>
    <row r="245" spans="1:6" s="18" customFormat="1">
      <c r="A245" s="231"/>
      <c r="B245" s="231"/>
      <c r="C245" s="230"/>
      <c r="D245" s="230"/>
      <c r="E245" s="229"/>
      <c r="F245" s="229"/>
    </row>
    <row r="246" spans="1:6" s="18" customFormat="1">
      <c r="A246" s="231"/>
      <c r="B246" s="231"/>
      <c r="C246" s="230"/>
      <c r="D246" s="230"/>
      <c r="E246" s="229"/>
      <c r="F246" s="229"/>
    </row>
    <row r="247" spans="1:6" s="18" customFormat="1">
      <c r="A247" s="231"/>
      <c r="B247" s="231"/>
      <c r="C247" s="230"/>
      <c r="D247" s="230"/>
      <c r="E247" s="229"/>
      <c r="F247" s="229"/>
    </row>
    <row r="248" spans="1:6" s="18" customFormat="1">
      <c r="A248" s="231"/>
      <c r="B248" s="231"/>
      <c r="C248" s="230"/>
      <c r="D248" s="230"/>
      <c r="E248" s="229"/>
      <c r="F248" s="229"/>
    </row>
    <row r="249" spans="1:6" s="18" customFormat="1">
      <c r="A249" s="231"/>
      <c r="B249" s="231"/>
      <c r="C249" s="230"/>
      <c r="D249" s="230"/>
      <c r="E249" s="229"/>
      <c r="F249" s="229"/>
    </row>
  </sheetData>
  <mergeCells count="8">
    <mergeCell ref="B1:L1"/>
    <mergeCell ref="B2:L2"/>
    <mergeCell ref="H5:L5"/>
    <mergeCell ref="B4:B23"/>
    <mergeCell ref="B24:B35"/>
    <mergeCell ref="B36:B59"/>
    <mergeCell ref="B60:B101"/>
    <mergeCell ref="B102:B125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D54AF-E3B6-46D2-A3BD-F96384D6FC46}">
  <dimension ref="A1:U68"/>
  <sheetViews>
    <sheetView zoomScaleNormal="100" zoomScalePageLayoutView="91" workbookViewId="0">
      <selection activeCell="N2" sqref="N2"/>
    </sheetView>
  </sheetViews>
  <sheetFormatPr baseColWidth="10" defaultRowHeight="15.75"/>
  <cols>
    <col min="1" max="1" width="6.140625" style="13" customWidth="1"/>
    <col min="2" max="2" width="3.7109375" style="228" customWidth="1"/>
    <col min="3" max="3" width="23.5703125" style="227" customWidth="1"/>
    <col min="4" max="4" width="12.85546875" style="226" customWidth="1"/>
    <col min="5" max="6" width="9.7109375" style="13" customWidth="1"/>
    <col min="7" max="8" width="11.7109375" style="13" customWidth="1"/>
    <col min="9" max="10" width="9.5703125" style="13" customWidth="1"/>
    <col min="11" max="11" width="6.42578125" style="13" customWidth="1"/>
    <col min="12" max="12" width="19.85546875" style="13" customWidth="1"/>
    <col min="13" max="13" width="9.85546875" style="13" customWidth="1"/>
    <col min="14" max="14" width="23" style="13" bestFit="1" customWidth="1"/>
    <col min="15" max="15" width="11.42578125" style="227" customWidth="1"/>
    <col min="16" max="16" width="13.28515625" style="226" customWidth="1"/>
    <col min="17" max="17" width="13.28515625" style="13" customWidth="1"/>
    <col min="18" max="18" width="11.42578125" style="18"/>
    <col min="19" max="19" width="16.28515625" style="13" customWidth="1"/>
    <col min="20" max="20" width="9.28515625" style="13" customWidth="1"/>
    <col min="21" max="21" width="20.7109375" style="13" customWidth="1"/>
    <col min="22" max="16384" width="11.42578125" style="13"/>
  </cols>
  <sheetData>
    <row r="1" spans="2:21" ht="20.25" customHeight="1">
      <c r="B1" s="332" t="s">
        <v>444</v>
      </c>
      <c r="C1" s="332"/>
      <c r="D1" s="332"/>
      <c r="E1" s="332"/>
      <c r="F1" s="332"/>
      <c r="G1" s="332"/>
      <c r="H1" s="332"/>
      <c r="I1" s="332"/>
      <c r="J1" s="332"/>
      <c r="K1" s="332"/>
      <c r="L1" s="18"/>
      <c r="M1" s="18"/>
      <c r="N1" s="18"/>
      <c r="Q1" s="301"/>
      <c r="R1" s="337"/>
      <c r="S1" s="301"/>
      <c r="T1" s="301"/>
      <c r="U1" s="301"/>
    </row>
    <row r="2" spans="2:21" ht="85.5" customHeight="1">
      <c r="B2" s="331" t="s">
        <v>70</v>
      </c>
      <c r="C2" s="330" t="s">
        <v>77</v>
      </c>
      <c r="D2" s="329" t="s">
        <v>443</v>
      </c>
      <c r="E2" s="328" t="s">
        <v>442</v>
      </c>
      <c r="F2" s="328" t="s">
        <v>441</v>
      </c>
      <c r="G2" s="328" t="s">
        <v>440</v>
      </c>
      <c r="H2" s="328" t="s">
        <v>439</v>
      </c>
      <c r="I2" s="328" t="s">
        <v>438</v>
      </c>
      <c r="J2" s="328" t="s">
        <v>437</v>
      </c>
      <c r="K2" s="328" t="s">
        <v>445</v>
      </c>
      <c r="L2" s="333"/>
      <c r="M2" s="333"/>
      <c r="N2" s="334"/>
      <c r="O2" s="326" t="s">
        <v>389</v>
      </c>
      <c r="P2" s="327" t="s">
        <v>387</v>
      </c>
      <c r="Q2" s="326" t="s">
        <v>412</v>
      </c>
      <c r="R2" s="338"/>
      <c r="S2" s="301"/>
      <c r="T2" s="301"/>
      <c r="U2" s="301"/>
    </row>
    <row r="3" spans="2:21" s="237" customFormat="1" ht="13.5" customHeight="1">
      <c r="B3" s="310">
        <v>1</v>
      </c>
      <c r="C3" s="309" t="s">
        <v>296</v>
      </c>
      <c r="D3" s="308">
        <f>P3-(P3*0.15)</f>
        <v>38177.137999999999</v>
      </c>
      <c r="E3" s="306">
        <f>100%/$B$33</f>
        <v>3.3333333333333333E-2</v>
      </c>
      <c r="F3" s="306">
        <f>E3</f>
        <v>3.3333333333333333E-2</v>
      </c>
      <c r="G3" s="308">
        <f>D3</f>
        <v>38177.137999999999</v>
      </c>
      <c r="H3" s="307">
        <f>G3</f>
        <v>38177.137999999999</v>
      </c>
      <c r="I3" s="306">
        <f>G3/$H$32</f>
        <v>0.20095392790580061</v>
      </c>
      <c r="J3" s="306">
        <f>I3</f>
        <v>0.20095392790580061</v>
      </c>
      <c r="K3" s="321" t="s">
        <v>434</v>
      </c>
      <c r="L3" s="335"/>
      <c r="M3" s="335"/>
      <c r="N3" s="336"/>
      <c r="O3" s="264">
        <v>108</v>
      </c>
      <c r="P3" s="304">
        <f>767.86+7697.68+22140.3+14308.44</f>
        <v>44914.28</v>
      </c>
      <c r="Q3" s="304">
        <f>D3/O3</f>
        <v>353.49201851851853</v>
      </c>
      <c r="R3" s="339"/>
    </row>
    <row r="4" spans="2:21" s="237" customFormat="1" ht="13.5" customHeight="1">
      <c r="B4" s="310">
        <v>2</v>
      </c>
      <c r="C4" s="309" t="s">
        <v>272</v>
      </c>
      <c r="D4" s="308">
        <f>P4-(P4*0.15)</f>
        <v>26094.081999999999</v>
      </c>
      <c r="E4" s="306">
        <f>100%/$B$33</f>
        <v>3.3333333333333333E-2</v>
      </c>
      <c r="F4" s="306">
        <f>F3+E4</f>
        <v>6.6666666666666666E-2</v>
      </c>
      <c r="G4" s="308">
        <f>D4</f>
        <v>26094.081999999999</v>
      </c>
      <c r="H4" s="307">
        <f>H3+G4</f>
        <v>64271.22</v>
      </c>
      <c r="I4" s="306">
        <f>G4/$H$32</f>
        <v>0.13735205276508808</v>
      </c>
      <c r="J4" s="306">
        <f>J3+I4</f>
        <v>0.33830598067088868</v>
      </c>
      <c r="K4" s="321" t="s">
        <v>434</v>
      </c>
      <c r="L4" s="335"/>
      <c r="M4" s="335"/>
      <c r="N4" s="336"/>
      <c r="O4" s="264">
        <v>65</v>
      </c>
      <c r="P4" s="304">
        <f>4813.13+20956.6+4929.19</f>
        <v>30698.92</v>
      </c>
      <c r="Q4" s="304">
        <f>D4/O4</f>
        <v>401.44741538461534</v>
      </c>
      <c r="R4" s="339"/>
    </row>
    <row r="5" spans="2:21" s="237" customFormat="1" ht="13.5" customHeight="1">
      <c r="B5" s="310">
        <v>3</v>
      </c>
      <c r="C5" s="309" t="s">
        <v>361</v>
      </c>
      <c r="D5" s="308">
        <f>P5-(P5*0.15)</f>
        <v>15538.195499999996</v>
      </c>
      <c r="E5" s="306">
        <f>100%/$B$33</f>
        <v>3.3333333333333333E-2</v>
      </c>
      <c r="F5" s="306">
        <f>F4+E5</f>
        <v>0.1</v>
      </c>
      <c r="G5" s="308">
        <f>D5</f>
        <v>15538.195499999996</v>
      </c>
      <c r="H5" s="307">
        <f>H4+G5</f>
        <v>79809.415500000003</v>
      </c>
      <c r="I5" s="306">
        <f>G5/$H$32</f>
        <v>8.1788776788171882E-2</v>
      </c>
      <c r="J5" s="306">
        <f>J4+I5</f>
        <v>0.42009475745906055</v>
      </c>
      <c r="K5" s="321" t="s">
        <v>434</v>
      </c>
      <c r="L5" s="335"/>
      <c r="M5" s="335"/>
      <c r="N5" s="336">
        <f>N8+N9</f>
        <v>161482.62259999994</v>
      </c>
      <c r="O5" s="264">
        <v>45</v>
      </c>
      <c r="P5" s="304">
        <f>12293.22+4797.73+1189.28</f>
        <v>18280.229999999996</v>
      </c>
      <c r="Q5" s="304">
        <f>D5/O5</f>
        <v>345.29323333333326</v>
      </c>
      <c r="R5" s="339"/>
    </row>
    <row r="6" spans="2:21" s="237" customFormat="1" ht="13.5" customHeight="1">
      <c r="B6" s="310">
        <v>4</v>
      </c>
      <c r="C6" s="309" t="s">
        <v>348</v>
      </c>
      <c r="D6" s="308">
        <f>P6-(P6*0.15)</f>
        <v>13735.711000000001</v>
      </c>
      <c r="E6" s="306">
        <f>100%/$B$33</f>
        <v>3.3333333333333333E-2</v>
      </c>
      <c r="F6" s="306">
        <f>F5+E6</f>
        <v>0.13333333333333333</v>
      </c>
      <c r="G6" s="308">
        <f>D6</f>
        <v>13735.711000000001</v>
      </c>
      <c r="H6" s="307">
        <f>H5+G6</f>
        <v>93545.126499999998</v>
      </c>
      <c r="I6" s="306">
        <f>G6/$H$32</f>
        <v>7.2300995376576221E-2</v>
      </c>
      <c r="J6" s="306">
        <f>J5+I6</f>
        <v>0.49239575283563675</v>
      </c>
      <c r="K6" s="321" t="s">
        <v>434</v>
      </c>
      <c r="L6" s="325" t="s">
        <v>435</v>
      </c>
      <c r="M6" s="324" t="s">
        <v>27</v>
      </c>
      <c r="N6" s="315" t="s">
        <v>436</v>
      </c>
      <c r="O6" s="264">
        <v>189</v>
      </c>
      <c r="P6" s="304">
        <f>1179+7137.67+6100.89+1742.1</f>
        <v>16159.660000000002</v>
      </c>
      <c r="Q6" s="304">
        <f>D6/O6</f>
        <v>72.675719576719587</v>
      </c>
      <c r="R6" s="339"/>
    </row>
    <row r="7" spans="2:21" s="237" customFormat="1" ht="13.5" customHeight="1">
      <c r="B7" s="310">
        <v>5</v>
      </c>
      <c r="C7" s="309" t="s">
        <v>320</v>
      </c>
      <c r="D7" s="308">
        <f>P7-(P7*0.15)</f>
        <v>11456.402</v>
      </c>
      <c r="E7" s="306">
        <f>100%/$B$33</f>
        <v>3.3333333333333333E-2</v>
      </c>
      <c r="F7" s="306">
        <f>F6+E7</f>
        <v>0.16666666666666666</v>
      </c>
      <c r="G7" s="308">
        <f>D7</f>
        <v>11456.402</v>
      </c>
      <c r="H7" s="307">
        <f>H6+G7</f>
        <v>105001.5285</v>
      </c>
      <c r="I7" s="306">
        <f>G7/$G$33</f>
        <v>6.0303341271099729E-2</v>
      </c>
      <c r="J7" s="306">
        <f>J6+I7</f>
        <v>0.55269909410673645</v>
      </c>
      <c r="K7" s="321" t="s">
        <v>434</v>
      </c>
      <c r="L7" s="323"/>
      <c r="M7" s="322">
        <v>1</v>
      </c>
      <c r="N7" s="315">
        <f>G33</f>
        <v>189979.55599999995</v>
      </c>
      <c r="O7" s="264">
        <v>232</v>
      </c>
      <c r="P7" s="304">
        <f>3613.97+1728.32+5938.02+2197.81</f>
        <v>13478.12</v>
      </c>
      <c r="Q7" s="304">
        <f>D7/O7</f>
        <v>49.381043103448278</v>
      </c>
      <c r="R7" s="339"/>
    </row>
    <row r="8" spans="2:21" s="237" customFormat="1" ht="13.5" customHeight="1">
      <c r="B8" s="310">
        <v>6</v>
      </c>
      <c r="C8" s="309" t="s">
        <v>379</v>
      </c>
      <c r="D8" s="308">
        <f>P8-(P8*0.15)</f>
        <v>8557.0689999999995</v>
      </c>
      <c r="E8" s="306">
        <f>100%/$B$33</f>
        <v>3.3333333333333333E-2</v>
      </c>
      <c r="F8" s="306">
        <f>F7+E8</f>
        <v>0.19999999999999998</v>
      </c>
      <c r="G8" s="308">
        <f>D8</f>
        <v>8557.0689999999995</v>
      </c>
      <c r="H8" s="307">
        <f>H7+G8</f>
        <v>113558.5975</v>
      </c>
      <c r="I8" s="306">
        <f>G8/$G$33</f>
        <v>4.5042051787930283E-2</v>
      </c>
      <c r="J8" s="306">
        <f>J7+I8</f>
        <v>0.59774114589466676</v>
      </c>
      <c r="K8" s="321" t="s">
        <v>434</v>
      </c>
      <c r="L8" s="320" t="s">
        <v>434</v>
      </c>
      <c r="M8" s="317">
        <v>0.6</v>
      </c>
      <c r="N8" s="313">
        <f>$N$7*M8</f>
        <v>113987.73359999996</v>
      </c>
      <c r="O8" s="264">
        <v>12</v>
      </c>
      <c r="P8" s="304">
        <v>10067.14</v>
      </c>
      <c r="Q8" s="304">
        <f>D8/O8</f>
        <v>713.08908333333329</v>
      </c>
      <c r="R8" s="339"/>
    </row>
    <row r="9" spans="2:21" s="237" customFormat="1" ht="13.5" customHeight="1">
      <c r="B9" s="310">
        <v>7</v>
      </c>
      <c r="C9" s="309" t="s">
        <v>313</v>
      </c>
      <c r="D9" s="308">
        <f>P9-(P9*0.15)</f>
        <v>8060.0229999999992</v>
      </c>
      <c r="E9" s="306">
        <f>100%/$B$33</f>
        <v>3.3333333333333333E-2</v>
      </c>
      <c r="F9" s="306">
        <f>F8+E9</f>
        <v>0.23333333333333331</v>
      </c>
      <c r="G9" s="308">
        <f>D9</f>
        <v>8060.0229999999992</v>
      </c>
      <c r="H9" s="307">
        <f>H8+G9</f>
        <v>121618.6205</v>
      </c>
      <c r="I9" s="306">
        <f>G9/$G$33</f>
        <v>4.2425738693693975E-2</v>
      </c>
      <c r="J9" s="306">
        <f>J8+I9</f>
        <v>0.64016688458836069</v>
      </c>
      <c r="K9" s="314" t="s">
        <v>433</v>
      </c>
      <c r="L9" s="319" t="s">
        <v>433</v>
      </c>
      <c r="M9" s="317">
        <v>0.25</v>
      </c>
      <c r="N9" s="313">
        <f>$N$7*M9</f>
        <v>47494.888999999988</v>
      </c>
      <c r="O9" s="264">
        <v>136</v>
      </c>
      <c r="P9" s="304">
        <f>3474.01+1781.32+3036.08+1190.97</f>
        <v>9482.3799999999992</v>
      </c>
      <c r="Q9" s="304">
        <f>D9/O9</f>
        <v>59.264874999999996</v>
      </c>
      <c r="R9" s="339"/>
    </row>
    <row r="10" spans="2:21" s="237" customFormat="1" ht="13.5" customHeight="1">
      <c r="B10" s="310">
        <v>8</v>
      </c>
      <c r="C10" s="309" t="s">
        <v>342</v>
      </c>
      <c r="D10" s="308">
        <f>P10-(P10*0.15)</f>
        <v>6456.5404999999992</v>
      </c>
      <c r="E10" s="306">
        <f>100%/$B$33</f>
        <v>3.3333333333333333E-2</v>
      </c>
      <c r="F10" s="306">
        <f>F9+E10</f>
        <v>0.26666666666666666</v>
      </c>
      <c r="G10" s="308">
        <f>D10</f>
        <v>6456.5404999999992</v>
      </c>
      <c r="H10" s="307">
        <f>H9+G10</f>
        <v>128075.16100000001</v>
      </c>
      <c r="I10" s="306">
        <f>G10/$G$33</f>
        <v>3.3985448939569063E-2</v>
      </c>
      <c r="J10" s="306">
        <f>J9+I10</f>
        <v>0.6741523335279298</v>
      </c>
      <c r="K10" s="314" t="s">
        <v>433</v>
      </c>
      <c r="L10" s="318" t="s">
        <v>404</v>
      </c>
      <c r="M10" s="317">
        <v>0.15</v>
      </c>
      <c r="N10" s="313">
        <f>$N$7*M10</f>
        <v>28496.933399999991</v>
      </c>
      <c r="O10" s="264">
        <v>69</v>
      </c>
      <c r="P10" s="304">
        <f>4327.28+2720.94+547.71</f>
        <v>7595.9299999999994</v>
      </c>
      <c r="Q10" s="304">
        <f>D10/O10</f>
        <v>93.573050724637667</v>
      </c>
      <c r="R10" s="339"/>
    </row>
    <row r="11" spans="2:21" s="237" customFormat="1" ht="13.5" customHeight="1">
      <c r="B11" s="310">
        <v>9</v>
      </c>
      <c r="C11" s="309" t="s">
        <v>279</v>
      </c>
      <c r="D11" s="308">
        <f>P11-(P11*0.15)</f>
        <v>6356.3509999999997</v>
      </c>
      <c r="E11" s="306">
        <f>100%/$B$33</f>
        <v>3.3333333333333333E-2</v>
      </c>
      <c r="F11" s="306">
        <f>F10+E11</f>
        <v>0.3</v>
      </c>
      <c r="G11" s="308">
        <f>D11</f>
        <v>6356.3509999999997</v>
      </c>
      <c r="H11" s="307">
        <f>H10+G11</f>
        <v>134431.51200000002</v>
      </c>
      <c r="I11" s="306">
        <f>G11/$G$33</f>
        <v>3.3458079036672771E-2</v>
      </c>
      <c r="J11" s="306">
        <f>J10+I11</f>
        <v>0.70761041256460255</v>
      </c>
      <c r="K11" s="314" t="s">
        <v>433</v>
      </c>
      <c r="L11" s="312"/>
      <c r="O11" s="264">
        <v>61</v>
      </c>
      <c r="P11" s="304">
        <f>7032.74+445.32</f>
        <v>7478.0599999999995</v>
      </c>
      <c r="Q11" s="304">
        <f>D11/O11</f>
        <v>104.20247540983605</v>
      </c>
      <c r="R11" s="339"/>
    </row>
    <row r="12" spans="2:21" s="237" customFormat="1" ht="13.5" customHeight="1">
      <c r="B12" s="310">
        <v>10</v>
      </c>
      <c r="C12" s="309" t="s">
        <v>379</v>
      </c>
      <c r="D12" s="308">
        <f>P12-(P12*0.15)</f>
        <v>5905.2645000000002</v>
      </c>
      <c r="E12" s="306">
        <f>100%/$B$33</f>
        <v>3.3333333333333333E-2</v>
      </c>
      <c r="F12" s="306">
        <f>F11+E12</f>
        <v>0.33333333333333331</v>
      </c>
      <c r="G12" s="308">
        <f>D12</f>
        <v>5905.2645000000002</v>
      </c>
      <c r="H12" s="307">
        <f>H11+G12</f>
        <v>140336.77650000001</v>
      </c>
      <c r="I12" s="306">
        <f>G12/$G$33</f>
        <v>3.1083684078091024E-2</v>
      </c>
      <c r="J12" s="306">
        <f>J11+I12</f>
        <v>0.73869409664269359</v>
      </c>
      <c r="K12" s="314" t="s">
        <v>433</v>
      </c>
      <c r="L12" s="312"/>
      <c r="O12" s="264">
        <v>6</v>
      </c>
      <c r="P12" s="304">
        <f>6947.37</f>
        <v>6947.37</v>
      </c>
      <c r="Q12" s="304">
        <f>D12/O12</f>
        <v>984.21075000000008</v>
      </c>
      <c r="R12" s="339"/>
    </row>
    <row r="13" spans="2:21" s="237" customFormat="1" ht="13.5" customHeight="1">
      <c r="B13" s="310">
        <v>11</v>
      </c>
      <c r="C13" s="309" t="s">
        <v>303</v>
      </c>
      <c r="D13" s="308">
        <f>P13-(P13*0.15)</f>
        <v>5607.6370000000006</v>
      </c>
      <c r="E13" s="306">
        <f>100%/$B$33</f>
        <v>3.3333333333333333E-2</v>
      </c>
      <c r="F13" s="306">
        <f>F12+E13</f>
        <v>0.36666666666666664</v>
      </c>
      <c r="G13" s="308">
        <f>D13</f>
        <v>5607.6370000000006</v>
      </c>
      <c r="H13" s="307">
        <f>H12+G13</f>
        <v>145944.4135</v>
      </c>
      <c r="I13" s="306">
        <f>G13/$G$33</f>
        <v>2.9517054982484546E-2</v>
      </c>
      <c r="J13" s="306">
        <f>J12+I13</f>
        <v>0.76821115162517817</v>
      </c>
      <c r="K13" s="314" t="s">
        <v>433</v>
      </c>
      <c r="L13" s="312"/>
      <c r="O13" s="264">
        <v>62</v>
      </c>
      <c r="P13" s="304">
        <f>2867.14+2446.11+1283.97</f>
        <v>6597.22</v>
      </c>
      <c r="Q13" s="304">
        <f>D13/O13</f>
        <v>90.445758064516141</v>
      </c>
      <c r="R13" s="339"/>
    </row>
    <row r="14" spans="2:21" s="237" customFormat="1" ht="13.5" customHeight="1">
      <c r="B14" s="310">
        <v>12</v>
      </c>
      <c r="C14" s="309" t="s">
        <v>327</v>
      </c>
      <c r="D14" s="308">
        <f>P14-(P14*0.15)</f>
        <v>5324.5445</v>
      </c>
      <c r="E14" s="306">
        <f>100%/$B$33</f>
        <v>3.3333333333333333E-2</v>
      </c>
      <c r="F14" s="306">
        <f>F13+E14</f>
        <v>0.39999999999999997</v>
      </c>
      <c r="G14" s="308">
        <f>D14</f>
        <v>5324.5445</v>
      </c>
      <c r="H14" s="307">
        <f>H13+G14</f>
        <v>151268.95799999998</v>
      </c>
      <c r="I14" s="306">
        <f>G14/$G$33</f>
        <v>2.8026934119163859E-2</v>
      </c>
      <c r="J14" s="306">
        <f>J13+I14</f>
        <v>0.79623808574434207</v>
      </c>
      <c r="K14" s="314" t="s">
        <v>433</v>
      </c>
      <c r="L14" s="157" t="s">
        <v>435</v>
      </c>
      <c r="M14" s="316" t="s">
        <v>27</v>
      </c>
      <c r="N14" s="340" t="s">
        <v>436</v>
      </c>
      <c r="O14" s="264">
        <v>104</v>
      </c>
      <c r="P14" s="304">
        <f>961.67+2069.67+2665.79+567.04</f>
        <v>6264.17</v>
      </c>
      <c r="Q14" s="304">
        <f>D14/O14</f>
        <v>51.197543269230771</v>
      </c>
      <c r="R14" s="339"/>
    </row>
    <row r="15" spans="2:21" s="237" customFormat="1" ht="13.5" customHeight="1">
      <c r="B15" s="310">
        <v>13</v>
      </c>
      <c r="C15" s="309" t="s">
        <v>289</v>
      </c>
      <c r="D15" s="308">
        <f>P15-(P15*0.15)</f>
        <v>4238.6099999999997</v>
      </c>
      <c r="E15" s="306">
        <f>100%/$B$33</f>
        <v>3.3333333333333333E-2</v>
      </c>
      <c r="F15" s="306">
        <f>F14+E15</f>
        <v>0.43333333333333329</v>
      </c>
      <c r="G15" s="308">
        <f>D15</f>
        <v>4238.6099999999997</v>
      </c>
      <c r="H15" s="307">
        <f>H14+G15</f>
        <v>155507.56799999997</v>
      </c>
      <c r="I15" s="306">
        <f>G15/$G$33</f>
        <v>2.23108743342889E-2</v>
      </c>
      <c r="J15" s="306">
        <f>J14+I15</f>
        <v>0.81854896007863098</v>
      </c>
      <c r="K15" s="314" t="s">
        <v>433</v>
      </c>
      <c r="L15" s="157"/>
      <c r="M15" s="341" t="s">
        <v>70</v>
      </c>
      <c r="N15" s="340">
        <f>SUM(N16:N18)</f>
        <v>5699386.6799999978</v>
      </c>
      <c r="O15" s="264">
        <v>30</v>
      </c>
      <c r="P15" s="304">
        <f>2241.07+2102.67+642.86</f>
        <v>4986.5999999999995</v>
      </c>
      <c r="Q15" s="304">
        <f>D15/O15</f>
        <v>141.28699999999998</v>
      </c>
      <c r="R15" s="339"/>
    </row>
    <row r="16" spans="2:21" s="237" customFormat="1" ht="13.5" customHeight="1">
      <c r="B16" s="310">
        <v>14</v>
      </c>
      <c r="C16" s="309" t="s">
        <v>309</v>
      </c>
      <c r="D16" s="308">
        <f>P16-(P16*0.15)</f>
        <v>3776.5925000000002</v>
      </c>
      <c r="E16" s="306">
        <f>100%/$B$33</f>
        <v>3.3333333333333333E-2</v>
      </c>
      <c r="F16" s="306">
        <f>F15+E16</f>
        <v>0.46666666666666662</v>
      </c>
      <c r="G16" s="308">
        <f>D16</f>
        <v>3776.5925000000002</v>
      </c>
      <c r="H16" s="307">
        <f>H15+G16</f>
        <v>159284.16049999997</v>
      </c>
      <c r="I16" s="306">
        <f>G16/$G$33</f>
        <v>1.9878941605695727E-2</v>
      </c>
      <c r="J16" s="306">
        <f>J15+I16</f>
        <v>0.83842790168432668</v>
      </c>
      <c r="K16" s="314" t="s">
        <v>433</v>
      </c>
      <c r="L16" s="354" t="s">
        <v>434</v>
      </c>
      <c r="M16" s="342">
        <v>6</v>
      </c>
      <c r="N16" s="255">
        <f>$N$7*M16</f>
        <v>1139877.3359999997</v>
      </c>
      <c r="O16" s="264">
        <v>44</v>
      </c>
      <c r="P16" s="304">
        <f>1875.09+1789.39+778.57</f>
        <v>4443.05</v>
      </c>
      <c r="Q16" s="304">
        <f>D16/O16</f>
        <v>85.831647727272738</v>
      </c>
      <c r="R16" s="339"/>
    </row>
    <row r="17" spans="2:21" s="237" customFormat="1" ht="13.5" customHeight="1">
      <c r="B17" s="310">
        <v>15</v>
      </c>
      <c r="C17" s="309" t="s">
        <v>303</v>
      </c>
      <c r="D17" s="308">
        <f>P17-(P17*0.15)</f>
        <v>3474.3835000000004</v>
      </c>
      <c r="E17" s="306">
        <f>100%/$B$33</f>
        <v>3.3333333333333333E-2</v>
      </c>
      <c r="F17" s="306">
        <f>F16+E17</f>
        <v>0.49999999999999994</v>
      </c>
      <c r="G17" s="308">
        <f>D17</f>
        <v>3474.3835000000004</v>
      </c>
      <c r="H17" s="307">
        <f>H16+G17</f>
        <v>162758.54399999997</v>
      </c>
      <c r="I17" s="306">
        <f>G17/$G$33</f>
        <v>1.8288196757339517E-2</v>
      </c>
      <c r="J17" s="306">
        <f>J16+I17</f>
        <v>0.85671609844166619</v>
      </c>
      <c r="K17" s="314" t="s">
        <v>433</v>
      </c>
      <c r="L17" s="355" t="s">
        <v>433</v>
      </c>
      <c r="M17" s="342">
        <v>9</v>
      </c>
      <c r="N17" s="255">
        <f>$N$7*M17</f>
        <v>1709816.0039999995</v>
      </c>
      <c r="O17" s="264">
        <v>41</v>
      </c>
      <c r="P17" s="304">
        <f>1365.44+589.29+2132.78</f>
        <v>4087.51</v>
      </c>
      <c r="Q17" s="304">
        <f>D17/O17</f>
        <v>84.74106097560977</v>
      </c>
      <c r="R17" s="339"/>
    </row>
    <row r="18" spans="2:21" s="237" customFormat="1" ht="13.5" customHeight="1">
      <c r="B18" s="310">
        <v>16</v>
      </c>
      <c r="C18" s="309" t="s">
        <v>340</v>
      </c>
      <c r="D18" s="308">
        <f>P18-(P18*0.15)</f>
        <v>3350.0710000000004</v>
      </c>
      <c r="E18" s="306">
        <f>100%/$B$33</f>
        <v>3.3333333333333333E-2</v>
      </c>
      <c r="F18" s="306">
        <f>F17+E18</f>
        <v>0.53333333333333333</v>
      </c>
      <c r="G18" s="308">
        <f>D18</f>
        <v>3350.0710000000004</v>
      </c>
      <c r="H18" s="307">
        <f>H17+G18</f>
        <v>166108.61499999996</v>
      </c>
      <c r="I18" s="306">
        <f>G18/$G$33</f>
        <v>1.7633850033842595E-2</v>
      </c>
      <c r="J18" s="306">
        <f>J17+I18</f>
        <v>0.87434994847550873</v>
      </c>
      <c r="K18" s="305" t="s">
        <v>404</v>
      </c>
      <c r="L18" s="356" t="s">
        <v>404</v>
      </c>
      <c r="M18" s="342">
        <v>15</v>
      </c>
      <c r="N18" s="255">
        <f>$N$7*M18</f>
        <v>2849693.3399999994</v>
      </c>
      <c r="O18" s="264">
        <v>27</v>
      </c>
      <c r="P18" s="304">
        <f>2791.27+864.28+285.71</f>
        <v>3941.26</v>
      </c>
      <c r="Q18" s="304">
        <f>D18/O18</f>
        <v>124.07670370370371</v>
      </c>
      <c r="R18" s="339"/>
    </row>
    <row r="19" spans="2:21" s="237" customFormat="1" ht="13.5" customHeight="1">
      <c r="B19" s="310">
        <v>17</v>
      </c>
      <c r="C19" s="309" t="s">
        <v>307</v>
      </c>
      <c r="D19" s="308">
        <f>P19-(P19*0.15)</f>
        <v>2769.9544999999998</v>
      </c>
      <c r="E19" s="306">
        <f>100%/$B$33</f>
        <v>3.3333333333333333E-2</v>
      </c>
      <c r="F19" s="306">
        <f>F18+E19</f>
        <v>0.56666666666666665</v>
      </c>
      <c r="G19" s="308">
        <f>D19</f>
        <v>2769.9544999999998</v>
      </c>
      <c r="H19" s="307">
        <f>H18+G19</f>
        <v>168878.56949999995</v>
      </c>
      <c r="I19" s="306">
        <f>G19/$G$33</f>
        <v>1.4580276732513263E-2</v>
      </c>
      <c r="J19" s="306">
        <f>J18+I19</f>
        <v>0.88893022520802201</v>
      </c>
      <c r="K19" s="305" t="s">
        <v>404</v>
      </c>
      <c r="L19" s="351"/>
      <c r="M19" s="335"/>
      <c r="N19" s="336"/>
      <c r="O19" s="264">
        <v>27</v>
      </c>
      <c r="P19" s="304">
        <f>517.86+946.08+1794.83</f>
        <v>3258.77</v>
      </c>
      <c r="Q19" s="304">
        <f>D19/O19</f>
        <v>102.5909074074074</v>
      </c>
      <c r="R19" s="339"/>
    </row>
    <row r="20" spans="2:21" s="237" customFormat="1" ht="13.5" customHeight="1">
      <c r="B20" s="310">
        <v>18</v>
      </c>
      <c r="C20" s="309" t="s">
        <v>366</v>
      </c>
      <c r="D20" s="308">
        <f>P20-(P20*0.15)</f>
        <v>2666.3140000000003</v>
      </c>
      <c r="E20" s="306">
        <f>100%/$B$33</f>
        <v>3.3333333333333333E-2</v>
      </c>
      <c r="F20" s="306">
        <f>F19+E20</f>
        <v>0.6</v>
      </c>
      <c r="G20" s="308">
        <f>D20</f>
        <v>2666.3140000000003</v>
      </c>
      <c r="H20" s="307">
        <f>H19+G20</f>
        <v>171544.88349999997</v>
      </c>
      <c r="I20" s="306">
        <f>G20/$G$33</f>
        <v>1.403474171715614E-2</v>
      </c>
      <c r="J20" s="306">
        <f>J19+I20</f>
        <v>0.90296496692517814</v>
      </c>
      <c r="K20" s="305" t="s">
        <v>404</v>
      </c>
      <c r="L20" s="335"/>
      <c r="M20" s="335"/>
      <c r="N20" s="336"/>
      <c r="O20" s="264">
        <v>4</v>
      </c>
      <c r="P20" s="304">
        <v>3136.84</v>
      </c>
      <c r="Q20" s="304">
        <f>D20/O20</f>
        <v>666.57850000000008</v>
      </c>
      <c r="R20" s="339"/>
    </row>
    <row r="21" spans="2:21" s="237" customFormat="1" ht="13.5" customHeight="1">
      <c r="B21" s="310">
        <v>19</v>
      </c>
      <c r="C21" s="309" t="s">
        <v>274</v>
      </c>
      <c r="D21" s="308">
        <f>P21-(P21*0.15)</f>
        <v>2435.7089999999998</v>
      </c>
      <c r="E21" s="306">
        <f>100%/$B$33</f>
        <v>3.3333333333333333E-2</v>
      </c>
      <c r="F21" s="306">
        <f>F20+E21</f>
        <v>0.6333333333333333</v>
      </c>
      <c r="G21" s="308">
        <f>D21</f>
        <v>2435.7089999999998</v>
      </c>
      <c r="H21" s="307">
        <f>H20+G21</f>
        <v>173980.59249999997</v>
      </c>
      <c r="I21" s="306">
        <f>G21/$G$33</f>
        <v>1.2820900581534154E-2</v>
      </c>
      <c r="J21" s="306">
        <f>J20+I21</f>
        <v>0.91578586750671231</v>
      </c>
      <c r="K21" s="305" t="s">
        <v>404</v>
      </c>
      <c r="L21" s="335"/>
      <c r="M21" s="335"/>
      <c r="N21" s="336"/>
      <c r="O21" s="264">
        <v>31</v>
      </c>
      <c r="P21" s="304">
        <f>968.36+1474.21+422.97</f>
        <v>2865.54</v>
      </c>
      <c r="Q21" s="304">
        <f>D21/O21</f>
        <v>78.57125806451613</v>
      </c>
      <c r="R21" s="339"/>
      <c r="T21" s="311"/>
    </row>
    <row r="22" spans="2:21" s="237" customFormat="1" ht="13.5" customHeight="1">
      <c r="B22" s="310">
        <v>20</v>
      </c>
      <c r="C22" s="309" t="s">
        <v>332</v>
      </c>
      <c r="D22" s="308">
        <f>P22-(P22*0.15)</f>
        <v>2365.2950000000001</v>
      </c>
      <c r="E22" s="306">
        <f>100%/$B$33</f>
        <v>3.3333333333333333E-2</v>
      </c>
      <c r="F22" s="306">
        <f>F21+E22</f>
        <v>0.66666666666666663</v>
      </c>
      <c r="G22" s="308">
        <f>D22</f>
        <v>2365.2950000000001</v>
      </c>
      <c r="H22" s="307">
        <f>H21+G22</f>
        <v>176345.88749999998</v>
      </c>
      <c r="I22" s="306">
        <f>G22/$G$33</f>
        <v>1.2450260700682976E-2</v>
      </c>
      <c r="J22" s="306">
        <f>J21+I22</f>
        <v>0.92823612820739532</v>
      </c>
      <c r="K22" s="305" t="s">
        <v>404</v>
      </c>
      <c r="L22" s="335"/>
      <c r="M22" s="335"/>
      <c r="N22" s="336"/>
      <c r="O22" s="264">
        <v>58</v>
      </c>
      <c r="P22" s="304">
        <f>998.11+558.84+889.86+335.89</f>
        <v>2782.7</v>
      </c>
      <c r="Q22" s="304">
        <f>D22/O22</f>
        <v>40.780948275862073</v>
      </c>
      <c r="R22" s="339"/>
    </row>
    <row r="23" spans="2:21" s="237" customFormat="1" ht="13.5" customHeight="1">
      <c r="B23" s="310">
        <v>21</v>
      </c>
      <c r="C23" s="309" t="s">
        <v>354</v>
      </c>
      <c r="D23" s="308">
        <f>P23-(P23*0.15)</f>
        <v>2260.5495000000001</v>
      </c>
      <c r="E23" s="306">
        <f>100%/$B$33</f>
        <v>3.3333333333333333E-2</v>
      </c>
      <c r="F23" s="306">
        <f>F22+E23</f>
        <v>0.7</v>
      </c>
      <c r="G23" s="308">
        <f>D23</f>
        <v>2260.5495000000001</v>
      </c>
      <c r="H23" s="307">
        <f>H22+G23</f>
        <v>178606.43699999998</v>
      </c>
      <c r="I23" s="306">
        <f>G23/$G$33</f>
        <v>1.1898909270005876E-2</v>
      </c>
      <c r="J23" s="306">
        <f>J22+I23</f>
        <v>0.94013503747740124</v>
      </c>
      <c r="K23" s="305" t="s">
        <v>404</v>
      </c>
      <c r="L23" s="335"/>
      <c r="M23" s="335"/>
      <c r="N23" s="336"/>
      <c r="O23" s="264">
        <v>20</v>
      </c>
      <c r="P23" s="304">
        <f>1039.48+789.63+830.36</f>
        <v>2659.4700000000003</v>
      </c>
      <c r="Q23" s="304">
        <f>D23/O23</f>
        <v>113.02747500000001</v>
      </c>
      <c r="R23" s="339"/>
    </row>
    <row r="24" spans="2:21" s="237" customFormat="1" ht="13.5" customHeight="1">
      <c r="B24" s="310">
        <v>22</v>
      </c>
      <c r="C24" s="309" t="s">
        <v>276</v>
      </c>
      <c r="D24" s="308">
        <f>P24-(P24*0.15)</f>
        <v>1772.4455</v>
      </c>
      <c r="E24" s="306">
        <f>100%/$B$33</f>
        <v>3.3333333333333333E-2</v>
      </c>
      <c r="F24" s="306">
        <f>F23+E24</f>
        <v>0.73333333333333328</v>
      </c>
      <c r="G24" s="308">
        <f>D24</f>
        <v>1772.4455</v>
      </c>
      <c r="H24" s="307">
        <f>H23+G24</f>
        <v>180378.88249999998</v>
      </c>
      <c r="I24" s="306">
        <f>G24/$G$33</f>
        <v>9.3296643982050381E-3</v>
      </c>
      <c r="J24" s="306">
        <f>J23+I24</f>
        <v>0.94946470187560628</v>
      </c>
      <c r="K24" s="305" t="s">
        <v>404</v>
      </c>
      <c r="L24" s="335"/>
      <c r="M24" s="335"/>
      <c r="N24" s="336"/>
      <c r="O24" s="264">
        <v>30</v>
      </c>
      <c r="P24" s="304">
        <f>1962.83+122.4</f>
        <v>2085.23</v>
      </c>
      <c r="Q24" s="304">
        <f>D24/O24</f>
        <v>59.081516666666666</v>
      </c>
      <c r="R24" s="339"/>
    </row>
    <row r="25" spans="2:21" s="237" customFormat="1" ht="13.5" customHeight="1">
      <c r="B25" s="310">
        <v>23</v>
      </c>
      <c r="C25" s="309" t="s">
        <v>349</v>
      </c>
      <c r="D25" s="308">
        <f>P25-(P25*0.15)</f>
        <v>1680.4245000000001</v>
      </c>
      <c r="E25" s="306">
        <f>100%/$B$33</f>
        <v>3.3333333333333333E-2</v>
      </c>
      <c r="F25" s="306">
        <f>F24+E25</f>
        <v>0.76666666666666661</v>
      </c>
      <c r="G25" s="308">
        <f>D25</f>
        <v>1680.4245000000001</v>
      </c>
      <c r="H25" s="307">
        <f>H24+G25</f>
        <v>182059.30699999997</v>
      </c>
      <c r="I25" s="306">
        <f>G25/$G$33</f>
        <v>8.8452912270202411E-3</v>
      </c>
      <c r="J25" s="306">
        <f>J24+I25</f>
        <v>0.95830999310262655</v>
      </c>
      <c r="K25" s="305" t="s">
        <v>404</v>
      </c>
      <c r="L25" s="335"/>
      <c r="M25" s="335"/>
      <c r="N25" s="336"/>
      <c r="O25" s="264">
        <v>23</v>
      </c>
      <c r="P25" s="304">
        <f>255.25+166.67+1201.48+353.57</f>
        <v>1976.97</v>
      </c>
      <c r="Q25" s="304">
        <f>D25/O25</f>
        <v>73.061934782608702</v>
      </c>
      <c r="R25" s="339"/>
    </row>
    <row r="26" spans="2:21" s="237" customFormat="1" ht="13.5" customHeight="1">
      <c r="B26" s="310">
        <v>24</v>
      </c>
      <c r="C26" s="309" t="s">
        <v>365</v>
      </c>
      <c r="D26" s="308">
        <f>P26-(P26*0.15)</f>
        <v>1441.9655</v>
      </c>
      <c r="E26" s="306">
        <f>100%/$B$33</f>
        <v>3.3333333333333333E-2</v>
      </c>
      <c r="F26" s="306">
        <f>F25+E26</f>
        <v>0.79999999999999993</v>
      </c>
      <c r="G26" s="308">
        <f>D26</f>
        <v>1441.9655</v>
      </c>
      <c r="H26" s="307">
        <f>H25+G26</f>
        <v>183501.27249999996</v>
      </c>
      <c r="I26" s="306">
        <f>G26/$G$33</f>
        <v>7.5901088009701443E-3</v>
      </c>
      <c r="J26" s="306">
        <f>J25+I26</f>
        <v>0.96590010190359665</v>
      </c>
      <c r="K26" s="305" t="s">
        <v>404</v>
      </c>
      <c r="L26" s="335"/>
      <c r="M26" s="335"/>
      <c r="N26" s="336"/>
      <c r="O26" s="264">
        <v>2</v>
      </c>
      <c r="P26" s="304">
        <v>1696.43</v>
      </c>
      <c r="Q26" s="304">
        <f>D26/O26</f>
        <v>720.98275000000001</v>
      </c>
      <c r="R26" s="339"/>
    </row>
    <row r="27" spans="2:21" s="237" customFormat="1" ht="13.5" customHeight="1">
      <c r="B27" s="310">
        <v>25</v>
      </c>
      <c r="C27" s="309" t="s">
        <v>359</v>
      </c>
      <c r="D27" s="308">
        <f>P27-(P27*0.15)</f>
        <v>1214.31</v>
      </c>
      <c r="E27" s="306">
        <f>100%/$B$33</f>
        <v>3.3333333333333333E-2</v>
      </c>
      <c r="F27" s="306">
        <f>F26+E27</f>
        <v>0.83333333333333326</v>
      </c>
      <c r="G27" s="308">
        <f>D27</f>
        <v>1214.31</v>
      </c>
      <c r="H27" s="307">
        <f>H26+G27</f>
        <v>184715.58249999996</v>
      </c>
      <c r="I27" s="306">
        <f>G27/$G$33</f>
        <v>6.3917930200868573E-3</v>
      </c>
      <c r="J27" s="306">
        <f>J26+I27</f>
        <v>0.97229189492368351</v>
      </c>
      <c r="K27" s="305" t="s">
        <v>404</v>
      </c>
      <c r="L27" s="335"/>
      <c r="M27" s="335"/>
      <c r="N27" s="336"/>
      <c r="O27" s="264">
        <v>20</v>
      </c>
      <c r="P27" s="304">
        <v>1428.6</v>
      </c>
      <c r="Q27" s="304">
        <f>D27/O27</f>
        <v>60.715499999999999</v>
      </c>
      <c r="R27" s="339"/>
    </row>
    <row r="28" spans="2:21" s="237" customFormat="1" ht="13.5" customHeight="1">
      <c r="B28" s="310">
        <v>26</v>
      </c>
      <c r="C28" s="309" t="s">
        <v>285</v>
      </c>
      <c r="D28" s="308">
        <f>P28-(P28*0.15)</f>
        <v>1204.5520000000001</v>
      </c>
      <c r="E28" s="306">
        <f>100%/$B$33</f>
        <v>3.3333333333333333E-2</v>
      </c>
      <c r="F28" s="306">
        <f>F27+E28</f>
        <v>0.86666666666666659</v>
      </c>
      <c r="G28" s="308">
        <f>D28</f>
        <v>1204.5520000000001</v>
      </c>
      <c r="H28" s="307">
        <f>H27+G28</f>
        <v>185920.13449999996</v>
      </c>
      <c r="I28" s="306">
        <f>G28/$G$33</f>
        <v>6.3404295986458688E-3</v>
      </c>
      <c r="J28" s="306">
        <f>J27+I28</f>
        <v>0.9786323245223294</v>
      </c>
      <c r="K28" s="305" t="s">
        <v>404</v>
      </c>
      <c r="L28" s="335"/>
      <c r="M28" s="335"/>
      <c r="N28" s="336"/>
      <c r="O28" s="264">
        <v>25</v>
      </c>
      <c r="P28" s="304">
        <f>317+320.68+779.44</f>
        <v>1417.1200000000001</v>
      </c>
      <c r="Q28" s="304">
        <f>D28/O28</f>
        <v>48.182080000000006</v>
      </c>
      <c r="R28" s="339"/>
    </row>
    <row r="29" spans="2:21" s="237" customFormat="1" ht="13.5" customHeight="1">
      <c r="B29" s="310">
        <v>27</v>
      </c>
      <c r="C29" s="309" t="s">
        <v>370</v>
      </c>
      <c r="D29" s="308">
        <f>P29-(P29*0.15)</f>
        <v>1105</v>
      </c>
      <c r="E29" s="306">
        <f>100%/$B$33</f>
        <v>3.3333333333333333E-2</v>
      </c>
      <c r="F29" s="306">
        <f>F28+E29</f>
        <v>0.89999999999999991</v>
      </c>
      <c r="G29" s="308">
        <f>D29</f>
        <v>1105</v>
      </c>
      <c r="H29" s="307">
        <f>H28+G29</f>
        <v>187025.13449999996</v>
      </c>
      <c r="I29" s="306">
        <f>G29/$G$33</f>
        <v>5.8164153199726414E-3</v>
      </c>
      <c r="J29" s="306">
        <f>J28+I29</f>
        <v>0.98444873984230208</v>
      </c>
      <c r="K29" s="305" t="s">
        <v>404</v>
      </c>
      <c r="L29" s="335"/>
      <c r="M29" s="335"/>
      <c r="N29" s="336"/>
      <c r="O29" s="264">
        <v>2</v>
      </c>
      <c r="P29" s="304">
        <v>1300</v>
      </c>
      <c r="Q29" s="304">
        <f>D29/O29</f>
        <v>552.5</v>
      </c>
      <c r="R29" s="339"/>
    </row>
    <row r="30" spans="2:21" ht="13.5" customHeight="1">
      <c r="B30" s="310">
        <v>28</v>
      </c>
      <c r="C30" s="309" t="s">
        <v>322</v>
      </c>
      <c r="D30" s="308">
        <f>P30-(P30*0.15)</f>
        <v>1019.2520000000001</v>
      </c>
      <c r="E30" s="306">
        <f>100%/$B$33</f>
        <v>3.3333333333333333E-2</v>
      </c>
      <c r="F30" s="306">
        <f>F29+E30</f>
        <v>0.93333333333333324</v>
      </c>
      <c r="G30" s="308">
        <f>D30</f>
        <v>1019.2520000000001</v>
      </c>
      <c r="H30" s="307">
        <f>H29+G30</f>
        <v>188044.38649999996</v>
      </c>
      <c r="I30" s="306">
        <f>G30/$G$33</f>
        <v>5.3650614911427644E-3</v>
      </c>
      <c r="J30" s="306">
        <f>J29+I30</f>
        <v>0.98981380133344488</v>
      </c>
      <c r="K30" s="305" t="s">
        <v>404</v>
      </c>
      <c r="L30" s="18"/>
      <c r="M30" s="18"/>
      <c r="N30" s="348"/>
      <c r="O30" s="264">
        <v>20</v>
      </c>
      <c r="P30" s="304">
        <f>491.98+471.43+235.71</f>
        <v>1199.1200000000001</v>
      </c>
      <c r="Q30" s="304">
        <f>D30/O30</f>
        <v>50.962600000000002</v>
      </c>
      <c r="R30" s="338"/>
      <c r="S30" s="301"/>
      <c r="T30" s="301"/>
      <c r="U30" s="301"/>
    </row>
    <row r="31" spans="2:21" ht="13.5" customHeight="1">
      <c r="B31" s="310">
        <v>29</v>
      </c>
      <c r="C31" s="309" t="s">
        <v>333</v>
      </c>
      <c r="D31" s="308">
        <f>P31-(P31*0.15)</f>
        <v>990.13950000000011</v>
      </c>
      <c r="E31" s="306">
        <f>100%/$B$33</f>
        <v>3.3333333333333333E-2</v>
      </c>
      <c r="F31" s="306">
        <f>F30+E31</f>
        <v>0.96666666666666656</v>
      </c>
      <c r="G31" s="308">
        <f>D31</f>
        <v>990.13950000000011</v>
      </c>
      <c r="H31" s="307">
        <f>H30+G31</f>
        <v>189034.52599999995</v>
      </c>
      <c r="I31" s="306">
        <f>G31/$G$33</f>
        <v>5.2118213182896396E-3</v>
      </c>
      <c r="J31" s="306">
        <f>J30+I31</f>
        <v>0.99502562265173455</v>
      </c>
      <c r="K31" s="305" t="s">
        <v>404</v>
      </c>
      <c r="L31" s="18"/>
      <c r="M31" s="18"/>
      <c r="N31" s="348"/>
      <c r="O31" s="264">
        <v>29</v>
      </c>
      <c r="P31" s="304">
        <f>400.22+612.12+152.53</f>
        <v>1164.8700000000001</v>
      </c>
      <c r="Q31" s="304">
        <f>D31/O31</f>
        <v>34.142741379310351</v>
      </c>
      <c r="R31" s="338"/>
      <c r="S31" s="301"/>
      <c r="T31" s="301"/>
      <c r="U31" s="301"/>
    </row>
    <row r="32" spans="2:21" ht="13.5" customHeight="1">
      <c r="B32" s="310">
        <v>30</v>
      </c>
      <c r="C32" s="309" t="s">
        <v>325</v>
      </c>
      <c r="D32" s="308">
        <f>P32-(P32*0.15)</f>
        <v>945.0300000000002</v>
      </c>
      <c r="E32" s="306">
        <f>100%/$B$33</f>
        <v>3.3333333333333333E-2</v>
      </c>
      <c r="F32" s="306">
        <f>F31+E32</f>
        <v>0.99999999999999989</v>
      </c>
      <c r="G32" s="308">
        <f>D32</f>
        <v>945.0300000000002</v>
      </c>
      <c r="H32" s="307">
        <f>H31+G32</f>
        <v>189979.55599999995</v>
      </c>
      <c r="I32" s="306">
        <f>G32/$G$33</f>
        <v>4.9743773482658332E-3</v>
      </c>
      <c r="J32" s="306">
        <f>J31+I32</f>
        <v>1.0000000000000004</v>
      </c>
      <c r="K32" s="305" t="s">
        <v>404</v>
      </c>
      <c r="L32" s="18"/>
      <c r="M32" s="18"/>
      <c r="N32" s="348"/>
      <c r="O32" s="264">
        <v>20</v>
      </c>
      <c r="P32" s="304">
        <f>239.56+207.05+665.19</f>
        <v>1111.8000000000002</v>
      </c>
      <c r="Q32" s="304">
        <f>D32/O32</f>
        <v>47.251500000000007</v>
      </c>
      <c r="R32" s="338"/>
      <c r="S32" s="301"/>
      <c r="T32" s="301"/>
      <c r="U32" s="301"/>
    </row>
    <row r="33" spans="1:21">
      <c r="A33" s="18"/>
      <c r="B33" s="343">
        <v>30</v>
      </c>
      <c r="C33" s="344"/>
      <c r="D33" s="345"/>
      <c r="E33" s="344"/>
      <c r="F33" s="344"/>
      <c r="G33" s="346">
        <f>SUM(G3:G32)</f>
        <v>189979.55599999995</v>
      </c>
      <c r="H33" s="347"/>
      <c r="I33" s="303">
        <f>SUM(I3:I32)</f>
        <v>1.0000000000000004</v>
      </c>
      <c r="J33" s="302"/>
      <c r="K33" s="302"/>
      <c r="L33" s="18"/>
      <c r="M33" s="18"/>
      <c r="N33" s="348"/>
      <c r="O33" s="349"/>
      <c r="P33" s="350"/>
      <c r="Q33" s="338"/>
      <c r="R33" s="338"/>
      <c r="S33" s="337"/>
      <c r="T33" s="337"/>
      <c r="U33" s="301"/>
    </row>
    <row r="34" spans="1:21">
      <c r="A34" s="18"/>
      <c r="B34" s="231"/>
      <c r="C34" s="230"/>
      <c r="D34" s="229"/>
      <c r="E34" s="18"/>
      <c r="F34" s="18"/>
      <c r="G34" s="18"/>
      <c r="H34" s="18"/>
      <c r="L34" s="18"/>
      <c r="M34" s="18"/>
      <c r="N34" s="348"/>
      <c r="O34" s="349"/>
      <c r="P34" s="350"/>
      <c r="Q34" s="338"/>
      <c r="R34" s="338"/>
      <c r="S34" s="337"/>
      <c r="T34" s="337"/>
      <c r="U34" s="301"/>
    </row>
    <row r="35" spans="1:21">
      <c r="A35" s="18"/>
      <c r="B35" s="231"/>
      <c r="C35" s="230"/>
      <c r="D35" s="229"/>
      <c r="E35" s="18"/>
      <c r="F35" s="18"/>
      <c r="G35" s="18"/>
      <c r="H35" s="18"/>
      <c r="L35" s="18"/>
      <c r="M35" s="18"/>
      <c r="N35" s="18"/>
      <c r="O35" s="230"/>
      <c r="P35" s="229"/>
      <c r="Q35" s="337"/>
      <c r="R35" s="337"/>
      <c r="S35" s="337"/>
      <c r="T35" s="337"/>
      <c r="U35" s="301"/>
    </row>
    <row r="36" spans="1:21">
      <c r="A36" s="18"/>
      <c r="B36" s="231"/>
      <c r="C36" s="230"/>
      <c r="D36" s="229"/>
      <c r="E36" s="18"/>
      <c r="F36" s="18"/>
      <c r="G36" s="18"/>
      <c r="H36" s="18"/>
      <c r="L36" s="18"/>
      <c r="M36" s="18"/>
      <c r="N36" s="18"/>
      <c r="O36" s="230"/>
      <c r="P36" s="229"/>
      <c r="Q36" s="18"/>
      <c r="S36" s="18"/>
      <c r="T36" s="18"/>
    </row>
    <row r="37" spans="1:21">
      <c r="A37" s="18"/>
      <c r="B37" s="231"/>
      <c r="C37" s="230"/>
      <c r="D37" s="229"/>
      <c r="E37" s="18"/>
      <c r="F37" s="18"/>
      <c r="G37" s="18"/>
      <c r="H37" s="18"/>
      <c r="L37" s="18"/>
      <c r="M37" s="18"/>
      <c r="N37" s="18"/>
      <c r="O37" s="230"/>
      <c r="P37" s="229"/>
      <c r="Q37" s="18"/>
      <c r="S37" s="18"/>
      <c r="T37" s="18"/>
    </row>
    <row r="38" spans="1:21" ht="16.5" thickBot="1">
      <c r="A38" s="18"/>
      <c r="B38" s="231"/>
      <c r="C38" s="230"/>
      <c r="D38" s="229"/>
      <c r="E38" s="18"/>
      <c r="F38" s="18"/>
      <c r="G38" s="18"/>
      <c r="H38" s="18"/>
      <c r="O38" s="230"/>
      <c r="P38" s="229"/>
      <c r="Q38" s="18"/>
      <c r="S38" s="18"/>
      <c r="T38" s="18"/>
    </row>
    <row r="39" spans="1:21" ht="42" customHeight="1" thickBot="1">
      <c r="A39" s="18"/>
      <c r="B39" s="231"/>
      <c r="C39" s="230"/>
      <c r="D39" s="229"/>
      <c r="E39" s="18"/>
      <c r="F39" s="18"/>
      <c r="G39" s="18"/>
      <c r="H39" s="18"/>
      <c r="L39" s="352" t="s">
        <v>432</v>
      </c>
      <c r="M39" s="300" t="s">
        <v>431</v>
      </c>
      <c r="N39" s="300"/>
      <c r="O39" s="300"/>
      <c r="P39" s="300"/>
    </row>
    <row r="40" spans="1:21" ht="42" customHeight="1" thickBot="1">
      <c r="A40" s="18"/>
      <c r="B40" s="231"/>
      <c r="C40" s="230"/>
      <c r="D40" s="229"/>
      <c r="E40" s="18"/>
      <c r="F40" s="18"/>
      <c r="G40" s="18"/>
      <c r="H40" s="18"/>
      <c r="L40" s="353" t="s">
        <v>430</v>
      </c>
      <c r="M40" s="300" t="s">
        <v>429</v>
      </c>
      <c r="N40" s="300"/>
      <c r="O40" s="300"/>
      <c r="P40" s="300"/>
    </row>
    <row r="41" spans="1:21" ht="42" customHeight="1" thickBot="1">
      <c r="A41" s="18"/>
      <c r="B41" s="231"/>
      <c r="C41" s="230"/>
      <c r="D41" s="229"/>
      <c r="E41" s="18"/>
      <c r="F41" s="18"/>
      <c r="G41" s="18"/>
      <c r="H41" s="18"/>
      <c r="L41" s="353" t="s">
        <v>428</v>
      </c>
      <c r="M41" s="300" t="s">
        <v>427</v>
      </c>
      <c r="N41" s="300"/>
      <c r="O41" s="300"/>
      <c r="P41" s="300"/>
    </row>
    <row r="42" spans="1:21" ht="42" customHeight="1" thickBot="1">
      <c r="A42" s="18"/>
      <c r="B42" s="231"/>
      <c r="C42" s="230"/>
      <c r="D42" s="229"/>
      <c r="E42" s="18"/>
      <c r="F42" s="18"/>
      <c r="G42" s="18"/>
      <c r="H42" s="18"/>
      <c r="L42" s="353" t="s">
        <v>426</v>
      </c>
      <c r="M42" s="300" t="s">
        <v>425</v>
      </c>
      <c r="N42" s="300"/>
      <c r="O42" s="300"/>
      <c r="P42" s="300"/>
    </row>
    <row r="43" spans="1:21" ht="42" customHeight="1" thickBot="1">
      <c r="A43" s="18"/>
      <c r="B43" s="231"/>
      <c r="C43" s="230"/>
      <c r="D43" s="229"/>
      <c r="E43" s="18"/>
      <c r="F43" s="18"/>
      <c r="G43" s="18"/>
      <c r="H43" s="18"/>
      <c r="L43" s="353" t="s">
        <v>424</v>
      </c>
      <c r="M43" s="300" t="s">
        <v>423</v>
      </c>
      <c r="N43" s="300"/>
      <c r="O43" s="300"/>
      <c r="P43" s="300"/>
    </row>
    <row r="44" spans="1:21" ht="42" customHeight="1" thickBot="1">
      <c r="A44" s="18"/>
      <c r="B44" s="231"/>
      <c r="C44" s="230"/>
      <c r="D44" s="229"/>
      <c r="E44" s="18"/>
      <c r="F44" s="18"/>
      <c r="G44" s="18"/>
      <c r="H44" s="18"/>
      <c r="L44" s="353" t="s">
        <v>422</v>
      </c>
      <c r="M44" s="300" t="s">
        <v>421</v>
      </c>
      <c r="N44" s="300"/>
      <c r="O44" s="300"/>
      <c r="P44" s="300"/>
    </row>
    <row r="45" spans="1:21">
      <c r="A45" s="18"/>
      <c r="B45" s="231"/>
      <c r="C45" s="230"/>
      <c r="D45" s="229"/>
      <c r="E45" s="18"/>
      <c r="F45" s="18"/>
      <c r="G45" s="18"/>
      <c r="H45" s="18"/>
    </row>
    <row r="46" spans="1:21">
      <c r="A46" s="18"/>
      <c r="B46" s="231"/>
      <c r="C46" s="230"/>
      <c r="D46" s="229"/>
      <c r="E46" s="18"/>
      <c r="F46" s="18"/>
      <c r="G46" s="18"/>
      <c r="H46" s="18"/>
    </row>
    <row r="47" spans="1:21">
      <c r="A47" s="18"/>
      <c r="B47" s="231"/>
      <c r="C47" s="230"/>
      <c r="D47" s="229"/>
      <c r="E47" s="18"/>
      <c r="F47" s="18"/>
      <c r="G47" s="18"/>
      <c r="H47" s="18"/>
    </row>
    <row r="48" spans="1:21">
      <c r="A48" s="18"/>
      <c r="B48" s="231"/>
      <c r="C48" s="230"/>
      <c r="D48" s="229"/>
      <c r="E48" s="18"/>
      <c r="F48" s="18"/>
      <c r="G48" s="18"/>
      <c r="H48" s="18"/>
    </row>
    <row r="49" spans="1:8">
      <c r="A49" s="18"/>
      <c r="B49" s="231"/>
      <c r="C49" s="230"/>
      <c r="D49" s="229"/>
      <c r="E49" s="18"/>
      <c r="F49" s="18"/>
      <c r="G49" s="18"/>
      <c r="H49" s="18"/>
    </row>
    <row r="50" spans="1:8">
      <c r="A50" s="18"/>
      <c r="B50" s="231"/>
      <c r="C50" s="230"/>
      <c r="D50" s="229"/>
      <c r="E50" s="18"/>
      <c r="F50" s="18"/>
      <c r="G50" s="18"/>
      <c r="H50" s="18"/>
    </row>
    <row r="51" spans="1:8">
      <c r="A51" s="18"/>
      <c r="B51" s="231"/>
      <c r="C51" s="230"/>
      <c r="D51" s="229"/>
      <c r="E51" s="18"/>
      <c r="F51" s="18"/>
      <c r="G51" s="18"/>
      <c r="H51" s="18"/>
    </row>
    <row r="52" spans="1:8">
      <c r="A52" s="18"/>
      <c r="B52" s="231"/>
      <c r="C52" s="230"/>
      <c r="D52" s="229"/>
      <c r="E52" s="18"/>
      <c r="F52" s="18"/>
      <c r="G52" s="18"/>
      <c r="H52" s="18"/>
    </row>
    <row r="53" spans="1:8">
      <c r="A53" s="18"/>
      <c r="B53" s="231"/>
      <c r="C53" s="230"/>
      <c r="D53" s="229"/>
      <c r="E53" s="18"/>
      <c r="F53" s="18"/>
      <c r="G53" s="18"/>
      <c r="H53" s="18"/>
    </row>
    <row r="54" spans="1:8">
      <c r="A54" s="18"/>
      <c r="B54" s="231"/>
      <c r="C54" s="230"/>
      <c r="D54" s="229"/>
      <c r="E54" s="18"/>
      <c r="F54" s="18"/>
      <c r="G54" s="18"/>
      <c r="H54" s="18"/>
    </row>
    <row r="55" spans="1:8">
      <c r="A55" s="18"/>
      <c r="B55" s="231"/>
      <c r="C55" s="230"/>
      <c r="D55" s="229"/>
      <c r="E55" s="18"/>
      <c r="F55" s="18"/>
      <c r="G55" s="18"/>
      <c r="H55" s="18"/>
    </row>
    <row r="56" spans="1:8">
      <c r="A56" s="18"/>
      <c r="B56" s="231"/>
      <c r="C56" s="230"/>
      <c r="D56" s="229"/>
      <c r="E56" s="18"/>
      <c r="F56" s="18"/>
      <c r="G56" s="18"/>
      <c r="H56" s="18"/>
    </row>
    <row r="57" spans="1:8">
      <c r="A57" s="18"/>
      <c r="B57" s="231"/>
      <c r="C57" s="230"/>
      <c r="D57" s="229"/>
      <c r="E57" s="18"/>
      <c r="F57" s="18"/>
      <c r="G57" s="18"/>
      <c r="H57" s="18"/>
    </row>
    <row r="58" spans="1:8">
      <c r="A58" s="18"/>
      <c r="B58" s="231"/>
      <c r="C58" s="230"/>
      <c r="D58" s="229"/>
      <c r="E58" s="18"/>
      <c r="F58" s="18"/>
      <c r="G58" s="18"/>
      <c r="H58" s="18"/>
    </row>
    <row r="59" spans="1:8">
      <c r="A59" s="18"/>
      <c r="B59" s="231"/>
      <c r="C59" s="230"/>
      <c r="D59" s="229"/>
      <c r="E59" s="18"/>
      <c r="F59" s="18"/>
      <c r="G59" s="18"/>
      <c r="H59" s="18"/>
    </row>
    <row r="60" spans="1:8">
      <c r="A60" s="18"/>
      <c r="B60" s="231"/>
      <c r="C60" s="230"/>
      <c r="D60" s="229"/>
      <c r="E60" s="18"/>
      <c r="F60" s="18"/>
      <c r="G60" s="18"/>
      <c r="H60" s="18"/>
    </row>
    <row r="61" spans="1:8">
      <c r="A61" s="18"/>
      <c r="B61" s="231"/>
      <c r="C61" s="230"/>
      <c r="D61" s="229"/>
      <c r="E61" s="18"/>
      <c r="F61" s="18"/>
      <c r="G61" s="18"/>
      <c r="H61" s="18"/>
    </row>
    <row r="62" spans="1:8">
      <c r="A62" s="18"/>
      <c r="B62" s="231"/>
      <c r="C62" s="230"/>
      <c r="D62" s="229"/>
      <c r="E62" s="18"/>
      <c r="F62" s="18"/>
      <c r="G62" s="18"/>
      <c r="H62" s="18"/>
    </row>
    <row r="63" spans="1:8">
      <c r="A63" s="18"/>
      <c r="B63" s="231"/>
      <c r="C63" s="230"/>
      <c r="D63" s="229"/>
      <c r="E63" s="18"/>
      <c r="F63" s="18"/>
      <c r="G63" s="18"/>
      <c r="H63" s="18"/>
    </row>
    <row r="64" spans="1:8">
      <c r="A64" s="18"/>
      <c r="B64" s="231"/>
      <c r="C64" s="230"/>
      <c r="D64" s="229"/>
      <c r="E64" s="18"/>
      <c r="F64" s="18"/>
      <c r="G64" s="18"/>
      <c r="H64" s="18"/>
    </row>
    <row r="65" spans="1:8">
      <c r="A65" s="18"/>
      <c r="B65" s="231"/>
      <c r="C65" s="230"/>
      <c r="D65" s="229"/>
      <c r="E65" s="18"/>
      <c r="F65" s="18"/>
      <c r="G65" s="18"/>
      <c r="H65" s="18"/>
    </row>
    <row r="66" spans="1:8">
      <c r="A66" s="18"/>
      <c r="B66" s="231"/>
      <c r="C66" s="230"/>
      <c r="D66" s="229"/>
      <c r="E66" s="18"/>
      <c r="F66" s="18"/>
      <c r="G66" s="18"/>
      <c r="H66" s="18"/>
    </row>
    <row r="67" spans="1:8">
      <c r="A67" s="18"/>
      <c r="B67" s="231"/>
      <c r="C67" s="230"/>
      <c r="D67" s="229"/>
      <c r="E67" s="18"/>
      <c r="F67" s="18"/>
      <c r="G67" s="18"/>
      <c r="H67" s="18"/>
    </row>
    <row r="68" spans="1:8">
      <c r="A68" s="18"/>
      <c r="B68" s="231"/>
      <c r="C68" s="230"/>
      <c r="D68" s="229"/>
      <c r="E68" s="18"/>
      <c r="F68" s="18"/>
      <c r="G68" s="18"/>
      <c r="H68" s="18"/>
    </row>
  </sheetData>
  <mergeCells count="9">
    <mergeCell ref="M42:P42"/>
    <mergeCell ref="M43:P43"/>
    <mergeCell ref="M44:P44"/>
    <mergeCell ref="B1:K1"/>
    <mergeCell ref="L6:L7"/>
    <mergeCell ref="M39:P39"/>
    <mergeCell ref="M40:P40"/>
    <mergeCell ref="M41:P41"/>
    <mergeCell ref="L14:L15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DE4B3-172E-4898-9A02-317CAC6A1126}">
  <dimension ref="A1:S18"/>
  <sheetViews>
    <sheetView zoomScale="86" zoomScaleNormal="86" zoomScalePageLayoutView="124" workbookViewId="0">
      <selection activeCell="E15" sqref="E15"/>
    </sheetView>
  </sheetViews>
  <sheetFormatPr baseColWidth="10" defaultRowHeight="15"/>
  <cols>
    <col min="1" max="1" width="4.140625" style="13" customWidth="1"/>
    <col min="2" max="2" width="28" style="13" customWidth="1"/>
    <col min="3" max="3" width="13.85546875" style="13" customWidth="1"/>
    <col min="4" max="4" width="12.7109375" style="13" customWidth="1"/>
    <col min="5" max="5" width="13.7109375" style="13" customWidth="1"/>
    <col min="6" max="6" width="11.140625" style="13" customWidth="1"/>
    <col min="7" max="7" width="11.42578125" style="13" customWidth="1"/>
    <col min="8" max="8" width="12.28515625" style="13" customWidth="1"/>
    <col min="9" max="9" width="10.42578125" style="13" customWidth="1"/>
    <col min="10" max="10" width="2.5703125" style="13" customWidth="1"/>
    <col min="11" max="11" width="3.85546875" style="13" customWidth="1"/>
    <col min="12" max="12" width="23.5703125" style="13" customWidth="1"/>
    <col min="13" max="13" width="12.85546875" style="13" customWidth="1"/>
    <col min="14" max="14" width="12.28515625" style="13" customWidth="1"/>
    <col min="15" max="15" width="12.7109375" style="13" customWidth="1"/>
    <col min="16" max="16" width="17.140625" style="13" customWidth="1"/>
    <col min="17" max="17" width="10" style="13" customWidth="1"/>
    <col min="18" max="18" width="14.7109375" style="13" customWidth="1"/>
    <col min="19" max="19" width="13.42578125" style="13" customWidth="1"/>
    <col min="20" max="20" width="11.42578125" style="13" customWidth="1"/>
    <col min="21" max="21" width="11.42578125" style="13"/>
    <col min="22" max="22" width="23.85546875" style="13" customWidth="1"/>
    <col min="23" max="23" width="58.42578125" style="13" customWidth="1"/>
    <col min="24" max="16384" width="11.42578125" style="13"/>
  </cols>
  <sheetData>
    <row r="1" spans="1:19">
      <c r="A1" s="274" t="s">
        <v>413</v>
      </c>
      <c r="B1" s="274"/>
      <c r="C1" s="274"/>
      <c r="D1" s="274"/>
      <c r="E1" s="274"/>
      <c r="F1" s="274"/>
      <c r="G1" s="274"/>
      <c r="H1" s="274"/>
      <c r="I1" s="273"/>
      <c r="J1" s="273"/>
    </row>
    <row r="2" spans="1:19" ht="57.75" customHeight="1">
      <c r="A2" s="272" t="s">
        <v>70</v>
      </c>
      <c r="B2" s="270" t="s">
        <v>77</v>
      </c>
      <c r="C2" s="271" t="s">
        <v>412</v>
      </c>
      <c r="D2" s="270" t="s">
        <v>411</v>
      </c>
      <c r="E2" s="270" t="s">
        <v>410</v>
      </c>
      <c r="F2" s="269" t="s">
        <v>409</v>
      </c>
      <c r="G2" s="268" t="s">
        <v>408</v>
      </c>
      <c r="H2" s="268" t="s">
        <v>407</v>
      </c>
      <c r="I2" s="5"/>
      <c r="J2" s="5"/>
    </row>
    <row r="3" spans="1:19" ht="30.75" customHeight="1">
      <c r="A3" s="272"/>
      <c r="B3" s="270"/>
      <c r="C3" s="271"/>
      <c r="D3" s="270"/>
      <c r="E3" s="270"/>
      <c r="F3" s="269" t="s">
        <v>406</v>
      </c>
      <c r="G3" s="268" t="s">
        <v>405</v>
      </c>
      <c r="H3" s="268" t="s">
        <v>404</v>
      </c>
      <c r="I3" s="5"/>
      <c r="J3" s="5"/>
    </row>
    <row r="4" spans="1:19">
      <c r="A4" s="7">
        <v>1</v>
      </c>
      <c r="B4" s="256" t="s">
        <v>296</v>
      </c>
      <c r="C4" s="265">
        <v>353.49201851851853</v>
      </c>
      <c r="D4" s="263">
        <v>108</v>
      </c>
      <c r="E4" s="263">
        <v>12</v>
      </c>
      <c r="F4" s="263">
        <f>D4+E4</f>
        <v>120</v>
      </c>
      <c r="G4" s="262">
        <f>(0.12*F4)/12</f>
        <v>1.2</v>
      </c>
      <c r="H4" s="8">
        <v>0.3</v>
      </c>
      <c r="I4" s="5"/>
      <c r="J4" s="5"/>
      <c r="K4" s="4"/>
    </row>
    <row r="5" spans="1:19" ht="15.75">
      <c r="A5" s="7">
        <v>2</v>
      </c>
      <c r="B5" s="256" t="s">
        <v>272</v>
      </c>
      <c r="C5" s="265">
        <v>401.44741538461534</v>
      </c>
      <c r="D5" s="263">
        <v>65</v>
      </c>
      <c r="E5" s="263">
        <v>12</v>
      </c>
      <c r="F5" s="263">
        <f>D5+E5</f>
        <v>77</v>
      </c>
      <c r="G5" s="262">
        <f>(0.15*F5)/12</f>
        <v>0.96249999999999991</v>
      </c>
      <c r="H5" s="8">
        <v>0.35</v>
      </c>
      <c r="I5" s="5"/>
      <c r="J5" s="5"/>
      <c r="K5" s="4"/>
      <c r="L5" s="267" t="s">
        <v>403</v>
      </c>
      <c r="M5" s="266" t="s">
        <v>402</v>
      </c>
      <c r="N5" s="266"/>
      <c r="O5" s="266"/>
      <c r="P5" s="266"/>
    </row>
    <row r="6" spans="1:19" ht="15.75">
      <c r="A6" s="7">
        <v>3</v>
      </c>
      <c r="B6" s="256" t="s">
        <v>361</v>
      </c>
      <c r="C6" s="265">
        <v>345.29323333333326</v>
      </c>
      <c r="D6" s="263">
        <v>45</v>
      </c>
      <c r="E6" s="263">
        <v>12</v>
      </c>
      <c r="F6" s="263">
        <f>D6+E6</f>
        <v>57</v>
      </c>
      <c r="G6" s="262">
        <f>(0.15*F6)/12</f>
        <v>0.71249999999999991</v>
      </c>
      <c r="H6" s="8">
        <v>0.3</v>
      </c>
      <c r="I6" s="5"/>
      <c r="J6" s="5"/>
      <c r="K6" s="4"/>
      <c r="L6" s="267" t="s">
        <v>259</v>
      </c>
      <c r="M6" s="266" t="s">
        <v>401</v>
      </c>
      <c r="N6" s="266"/>
      <c r="O6" s="266"/>
      <c r="P6" s="266"/>
    </row>
    <row r="7" spans="1:19" ht="15.75">
      <c r="A7" s="7">
        <v>4</v>
      </c>
      <c r="B7" s="256" t="s">
        <v>348</v>
      </c>
      <c r="C7" s="265">
        <v>72.675719576719587</v>
      </c>
      <c r="D7" s="263">
        <v>189</v>
      </c>
      <c r="E7" s="263">
        <v>12</v>
      </c>
      <c r="F7" s="263">
        <f>D7+E7</f>
        <v>201</v>
      </c>
      <c r="G7" s="262">
        <f>(0.1*F7)/12</f>
        <v>1.675</v>
      </c>
      <c r="H7" s="8">
        <v>0.25</v>
      </c>
      <c r="I7" s="5"/>
      <c r="J7" s="5"/>
      <c r="K7" s="4"/>
      <c r="L7" s="267" t="s">
        <v>260</v>
      </c>
      <c r="M7" s="266" t="s">
        <v>400</v>
      </c>
      <c r="N7" s="266"/>
      <c r="O7" s="266"/>
      <c r="P7" s="266"/>
    </row>
    <row r="8" spans="1:19">
      <c r="A8" s="7">
        <v>5</v>
      </c>
      <c r="B8" s="256" t="s">
        <v>320</v>
      </c>
      <c r="C8" s="265">
        <v>49.381043103448278</v>
      </c>
      <c r="D8" s="263">
        <v>232</v>
      </c>
      <c r="E8" s="263">
        <v>12</v>
      </c>
      <c r="F8" s="263">
        <f>D8+E8</f>
        <v>244</v>
      </c>
      <c r="G8" s="262">
        <f>(0.1*F8)/12</f>
        <v>2.0333333333333337</v>
      </c>
      <c r="H8" s="8">
        <v>0.25</v>
      </c>
      <c r="I8" s="5"/>
      <c r="J8" s="5"/>
      <c r="K8" s="4"/>
    </row>
    <row r="9" spans="1:19">
      <c r="A9" s="7">
        <v>6</v>
      </c>
      <c r="B9" s="256" t="s">
        <v>379</v>
      </c>
      <c r="C9" s="265">
        <v>713.08908333333329</v>
      </c>
      <c r="D9" s="264">
        <v>12</v>
      </c>
      <c r="E9" s="263">
        <v>2</v>
      </c>
      <c r="F9" s="263">
        <f>D9+E9</f>
        <v>14</v>
      </c>
      <c r="G9" s="262">
        <f>(2*F9)/12</f>
        <v>2.3333333333333335</v>
      </c>
      <c r="H9" s="8">
        <v>0.45</v>
      </c>
      <c r="I9" s="5"/>
      <c r="J9" s="5"/>
      <c r="K9" s="4"/>
    </row>
    <row r="10" spans="1:19" ht="26.25" customHeight="1">
      <c r="K10" s="261" t="s">
        <v>399</v>
      </c>
      <c r="L10" s="261"/>
      <c r="M10" s="261"/>
      <c r="N10" s="261"/>
      <c r="O10" s="261"/>
      <c r="P10" s="261"/>
      <c r="Q10" s="261"/>
      <c r="R10" s="261"/>
      <c r="S10" s="261"/>
    </row>
    <row r="11" spans="1:19" ht="44.25" customHeight="1">
      <c r="K11" s="259" t="s">
        <v>70</v>
      </c>
      <c r="L11" s="258" t="s">
        <v>77</v>
      </c>
      <c r="M11" s="260" t="s">
        <v>398</v>
      </c>
      <c r="N11" s="260" t="s">
        <v>397</v>
      </c>
      <c r="O11" s="260" t="s">
        <v>396</v>
      </c>
      <c r="P11" s="260" t="s">
        <v>395</v>
      </c>
      <c r="Q11" s="260" t="s">
        <v>394</v>
      </c>
      <c r="R11" s="260" t="s">
        <v>393</v>
      </c>
      <c r="S11" s="260" t="s">
        <v>392</v>
      </c>
    </row>
    <row r="12" spans="1:19" ht="36.75" customHeight="1">
      <c r="K12" s="259"/>
      <c r="L12" s="258"/>
      <c r="M12" s="257"/>
      <c r="N12" s="257"/>
      <c r="O12" s="257"/>
      <c r="P12" s="257"/>
      <c r="Q12" s="257"/>
      <c r="R12" s="257"/>
      <c r="S12" s="119"/>
    </row>
    <row r="13" spans="1:19" ht="18" customHeight="1">
      <c r="K13" s="7">
        <v>1</v>
      </c>
      <c r="L13" s="256" t="s">
        <v>296</v>
      </c>
      <c r="M13" s="254">
        <f>SQRT((2*F4*G4)/H4)</f>
        <v>30.983866769659336</v>
      </c>
      <c r="N13" s="255">
        <f>H4*(M13/2)</f>
        <v>4.6475800154489004</v>
      </c>
      <c r="O13" s="255">
        <f>G4*(F4/M13)</f>
        <v>4.6475800154488995</v>
      </c>
      <c r="P13" s="255">
        <f>(G4*(F4/M13)+(H4*(M13/2)))</f>
        <v>9.2951600308978009</v>
      </c>
      <c r="Q13" s="254">
        <f>F4/M13</f>
        <v>3.8729833462074166</v>
      </c>
      <c r="R13" s="254">
        <f>360/Q13</f>
        <v>92.951600308978016</v>
      </c>
      <c r="S13" s="253">
        <f>(F4/360)*R13</f>
        <v>30.983866769659336</v>
      </c>
    </row>
    <row r="14" spans="1:19" ht="18" customHeight="1">
      <c r="K14" s="7">
        <v>2</v>
      </c>
      <c r="L14" s="256" t="s">
        <v>272</v>
      </c>
      <c r="M14" s="254">
        <f>SQRT((2*F5*G5)/H5)</f>
        <v>20.579115627256677</v>
      </c>
      <c r="N14" s="255">
        <f>H5*(M14/2)</f>
        <v>3.601345234769918</v>
      </c>
      <c r="O14" s="255">
        <f>G5*(F5/M14)</f>
        <v>3.6013452347699184</v>
      </c>
      <c r="P14" s="255">
        <f>(G5*(F5/M14)+(H5*(M14/2)))</f>
        <v>7.2026904695398368</v>
      </c>
      <c r="Q14" s="254">
        <f>F5/M14</f>
        <v>3.7416573867739418</v>
      </c>
      <c r="R14" s="254">
        <f>360/Q14</f>
        <v>96.214047088472768</v>
      </c>
      <c r="S14" s="253">
        <f>(F5/360)*R14</f>
        <v>20.579115627256673</v>
      </c>
    </row>
    <row r="15" spans="1:19" ht="18" customHeight="1">
      <c r="K15" s="7">
        <v>3</v>
      </c>
      <c r="L15" s="256" t="s">
        <v>361</v>
      </c>
      <c r="M15" s="254">
        <f>SQRT((2*F6*G6)/H6)</f>
        <v>16.454482671904334</v>
      </c>
      <c r="N15" s="255">
        <f>H6*(M15/2)</f>
        <v>2.46817240078565</v>
      </c>
      <c r="O15" s="255">
        <f>G6*(F6/M15)</f>
        <v>2.46817240078565</v>
      </c>
      <c r="P15" s="255">
        <f>(G6*(F6/M15)+(H6*(M15/2)))</f>
        <v>4.9363448015713001</v>
      </c>
      <c r="Q15" s="254">
        <f>F6/M15</f>
        <v>3.4641016151377548</v>
      </c>
      <c r="R15" s="254">
        <f>360/Q15</f>
        <v>103.92304845413263</v>
      </c>
      <c r="S15" s="253">
        <f>(F6/360)*R15</f>
        <v>16.45448267190433</v>
      </c>
    </row>
    <row r="16" spans="1:19" ht="18" customHeight="1">
      <c r="K16" s="7">
        <v>4</v>
      </c>
      <c r="L16" s="256" t="s">
        <v>348</v>
      </c>
      <c r="M16" s="254">
        <f>SQRT((2*F7*G7)/H7)</f>
        <v>51.897976839179385</v>
      </c>
      <c r="N16" s="255">
        <f>H7*(M16/2)</f>
        <v>6.4872471048974232</v>
      </c>
      <c r="O16" s="255">
        <f>G7*(F7/M16)</f>
        <v>6.4872471048974241</v>
      </c>
      <c r="P16" s="255">
        <f>(G7*(F7/M16)+(H7*(M16/2)))</f>
        <v>12.974494209794848</v>
      </c>
      <c r="Q16" s="254">
        <f>F7/M16</f>
        <v>3.872983346207417</v>
      </c>
      <c r="R16" s="254">
        <f>360/Q16</f>
        <v>92.951600308978001</v>
      </c>
      <c r="S16" s="253">
        <f>(F7/360)*R16</f>
        <v>51.897976839179385</v>
      </c>
    </row>
    <row r="17" spans="11:19" ht="18" customHeight="1">
      <c r="K17" s="7">
        <v>5</v>
      </c>
      <c r="L17" s="256" t="s">
        <v>320</v>
      </c>
      <c r="M17" s="254">
        <f>SQRT((2*F8*G8)/H8)</f>
        <v>63.000529098307318</v>
      </c>
      <c r="N17" s="255">
        <f>H8*(M17/2)</f>
        <v>7.8750661372884148</v>
      </c>
      <c r="O17" s="255">
        <f>G8*(F8/M17)</f>
        <v>7.8750661372884148</v>
      </c>
      <c r="P17" s="255">
        <f>(G8*(F8/M17)+(H8*(M17/2)))</f>
        <v>15.75013227457683</v>
      </c>
      <c r="Q17" s="254">
        <f>F8/M17</f>
        <v>3.8729833462074166</v>
      </c>
      <c r="R17" s="254">
        <f>360/Q17</f>
        <v>92.951600308978016</v>
      </c>
      <c r="S17" s="253">
        <f>(F8/360)*R17</f>
        <v>63.000529098307325</v>
      </c>
    </row>
    <row r="18" spans="11:19" ht="18" customHeight="1">
      <c r="K18" s="7">
        <v>6</v>
      </c>
      <c r="L18" s="256" t="s">
        <v>379</v>
      </c>
      <c r="M18" s="254">
        <f>SQRT((2*F9*G9)/H9)</f>
        <v>12.049281521534185</v>
      </c>
      <c r="N18" s="255">
        <f>H9*(M18/2)</f>
        <v>2.7110883423451919</v>
      </c>
      <c r="O18" s="255">
        <f>G9*(F9/M18)</f>
        <v>2.7110883423451919</v>
      </c>
      <c r="P18" s="255">
        <f>(G9*(F9/M18)+(H9*(M18/2)))</f>
        <v>5.4221766846903838</v>
      </c>
      <c r="Q18" s="254">
        <f>F9/M18</f>
        <v>1.1618950038622251</v>
      </c>
      <c r="R18" s="254">
        <f>360/Q18</f>
        <v>309.83866769659335</v>
      </c>
      <c r="S18" s="253">
        <f>(F9/360)*R18</f>
        <v>12.049281521534185</v>
      </c>
    </row>
  </sheetData>
  <mergeCells count="12">
    <mergeCell ref="A1:H1"/>
    <mergeCell ref="A2:A3"/>
    <mergeCell ref="B2:B3"/>
    <mergeCell ref="C2:C3"/>
    <mergeCell ref="D2:D3"/>
    <mergeCell ref="E2:E3"/>
    <mergeCell ref="K10:S10"/>
    <mergeCell ref="K11:K12"/>
    <mergeCell ref="L11:L12"/>
    <mergeCell ref="M5:P5"/>
    <mergeCell ref="M6:P6"/>
    <mergeCell ref="M7:P7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072B4-FB44-458D-AF5F-CD560738A17E}">
  <dimension ref="A1:K30"/>
  <sheetViews>
    <sheetView zoomScale="93" zoomScaleNormal="93" workbookViewId="0">
      <selection activeCell="M7" sqref="M7"/>
    </sheetView>
  </sheetViews>
  <sheetFormatPr baseColWidth="10" defaultRowHeight="15"/>
  <cols>
    <col min="1" max="1" width="3" style="14" customWidth="1"/>
    <col min="2" max="2" width="3.140625" style="14" customWidth="1"/>
    <col min="3" max="3" width="30.140625" style="14" customWidth="1"/>
    <col min="4" max="4" width="25.5703125" style="14" customWidth="1"/>
    <col min="5" max="5" width="13.5703125" style="1" bestFit="1" customWidth="1"/>
    <col min="6" max="16384" width="11.42578125" style="14"/>
  </cols>
  <sheetData>
    <row r="1" spans="1:11">
      <c r="A1" s="212" t="s">
        <v>270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11" s="215" customFormat="1"/>
    <row r="3" spans="1:11">
      <c r="A3" s="212" t="s">
        <v>25</v>
      </c>
      <c r="B3" s="212"/>
      <c r="C3" s="212"/>
      <c r="D3" s="212"/>
      <c r="E3" s="211">
        <v>2017</v>
      </c>
    </row>
    <row r="4" spans="1:11" ht="16.5" customHeight="1">
      <c r="A4" s="209" t="s">
        <v>0</v>
      </c>
      <c r="B4" s="209"/>
      <c r="C4" s="209"/>
      <c r="D4" s="209"/>
      <c r="E4" s="207">
        <f>+E5+E11</f>
        <v>921582.97</v>
      </c>
      <c r="I4" s="2">
        <f>H5+H11</f>
        <v>1</v>
      </c>
    </row>
    <row r="5" spans="1:11" ht="16.5" customHeight="1">
      <c r="A5" s="199"/>
      <c r="B5" s="205" t="s">
        <v>1</v>
      </c>
      <c r="C5" s="205"/>
      <c r="D5" s="205"/>
      <c r="E5" s="207">
        <f>+E10+E9-E8+E7+E6</f>
        <v>618945.41999999993</v>
      </c>
      <c r="H5" s="3">
        <f>E5/E4</f>
        <v>0.67161117354414646</v>
      </c>
      <c r="I5" s="3"/>
    </row>
    <row r="6" spans="1:11" ht="16.5" customHeight="1">
      <c r="A6" s="199"/>
      <c r="B6" s="199"/>
      <c r="C6" s="204" t="s">
        <v>2</v>
      </c>
      <c r="D6" s="204"/>
      <c r="E6" s="203">
        <v>34135.26</v>
      </c>
      <c r="G6" s="3">
        <f>E6/$E$5</f>
        <v>5.5150678714126371E-2</v>
      </c>
      <c r="H6" s="3"/>
      <c r="I6" s="3"/>
      <c r="K6" s="3">
        <f>E6/$E$4</f>
        <v>3.7039812052950594E-2</v>
      </c>
    </row>
    <row r="7" spans="1:11">
      <c r="A7" s="199"/>
      <c r="B7" s="199"/>
      <c r="C7" s="204" t="s">
        <v>3</v>
      </c>
      <c r="D7" s="204"/>
      <c r="E7" s="203">
        <v>376879.47</v>
      </c>
      <c r="G7" s="3">
        <f>E7/$E$5</f>
        <v>0.60890582242292057</v>
      </c>
      <c r="H7" s="3"/>
      <c r="I7" s="3"/>
      <c r="K7" s="3">
        <f>E7/$E$4</f>
        <v>0.40894795397532135</v>
      </c>
    </row>
    <row r="8" spans="1:11" ht="16.5" customHeight="1">
      <c r="A8" s="199"/>
      <c r="B8" s="199"/>
      <c r="C8" s="204" t="s">
        <v>4</v>
      </c>
      <c r="D8" s="204"/>
      <c r="E8" s="203">
        <v>37687.949999999997</v>
      </c>
      <c r="G8" s="3">
        <f>-E8/$E$5</f>
        <v>-6.0890587089246093E-2</v>
      </c>
      <c r="H8" s="3"/>
      <c r="I8" s="3"/>
      <c r="K8" s="3">
        <f>-E8/$E$4</f>
        <v>-4.0894798652800622E-2</v>
      </c>
    </row>
    <row r="9" spans="1:11" ht="16.5" customHeight="1">
      <c r="A9" s="199"/>
      <c r="B9" s="199"/>
      <c r="C9" s="204" t="s">
        <v>5</v>
      </c>
      <c r="D9" s="204"/>
      <c r="E9" s="203">
        <v>4693.62</v>
      </c>
      <c r="G9" s="3">
        <f>E9/$E$5</f>
        <v>7.583253463609118E-3</v>
      </c>
      <c r="H9" s="3"/>
      <c r="I9" s="3"/>
      <c r="K9" s="3">
        <f>E9/$E$4</f>
        <v>5.0929977579772332E-3</v>
      </c>
    </row>
    <row r="10" spans="1:11" ht="16.5" customHeight="1">
      <c r="A10" s="199"/>
      <c r="B10" s="199"/>
      <c r="C10" s="204" t="s">
        <v>6</v>
      </c>
      <c r="D10" s="204"/>
      <c r="E10" s="203">
        <v>240925.02</v>
      </c>
      <c r="G10" s="3">
        <f>E10/$E$5</f>
        <v>0.38925083248859005</v>
      </c>
      <c r="H10" s="3"/>
      <c r="I10" s="3"/>
      <c r="K10" s="3">
        <f>E10/$E$4</f>
        <v>0.26142520841069794</v>
      </c>
    </row>
    <row r="11" spans="1:11" ht="16.5" customHeight="1">
      <c r="A11" s="199"/>
      <c r="B11" s="205" t="s">
        <v>7</v>
      </c>
      <c r="C11" s="205"/>
      <c r="D11" s="205"/>
      <c r="E11" s="207">
        <f>+E12+E13+E14+E15+E16-E17</f>
        <v>302637.55000000005</v>
      </c>
      <c r="H11" s="3">
        <f>E11/E4</f>
        <v>0.32838882645585349</v>
      </c>
      <c r="I11" s="3"/>
      <c r="K11" s="3"/>
    </row>
    <row r="12" spans="1:11" ht="16.5" customHeight="1">
      <c r="A12" s="199"/>
      <c r="B12" s="199"/>
      <c r="C12" s="204" t="s">
        <v>8</v>
      </c>
      <c r="D12" s="204"/>
      <c r="E12" s="203">
        <v>220000</v>
      </c>
      <c r="G12" s="3">
        <f>E12/$E$11</f>
        <v>0.72694217885387968</v>
      </c>
      <c r="K12" s="3">
        <f>E12/$E$4</f>
        <v>0.23871968901508672</v>
      </c>
    </row>
    <row r="13" spans="1:11" ht="16.5" customHeight="1">
      <c r="A13" s="199"/>
      <c r="B13" s="199"/>
      <c r="C13" s="204" t="s">
        <v>9</v>
      </c>
      <c r="D13" s="204"/>
      <c r="E13" s="203">
        <v>2016.9</v>
      </c>
      <c r="G13" s="3">
        <f>E13/$E$11</f>
        <v>6.6644076387745001E-3</v>
      </c>
      <c r="K13" s="3">
        <f>E13/$E$4</f>
        <v>2.1885170035205841E-3</v>
      </c>
    </row>
    <row r="14" spans="1:11">
      <c r="A14" s="199"/>
      <c r="B14" s="199"/>
      <c r="C14" s="204" t="s">
        <v>10</v>
      </c>
      <c r="D14" s="204"/>
      <c r="E14" s="203">
        <v>72137.61</v>
      </c>
      <c r="G14" s="3">
        <f>E14/$E$11</f>
        <v>0.23836305177596101</v>
      </c>
      <c r="K14" s="3">
        <f>E14/$E$4</f>
        <v>7.8275762843143692E-2</v>
      </c>
    </row>
    <row r="15" spans="1:11" ht="16.5" customHeight="1">
      <c r="A15" s="199"/>
      <c r="B15" s="199"/>
      <c r="C15" s="204" t="s">
        <v>11</v>
      </c>
      <c r="D15" s="204"/>
      <c r="E15" s="203">
        <v>7785.71</v>
      </c>
      <c r="G15" s="3">
        <f>E15/$E$11</f>
        <v>2.5726186324202E-2</v>
      </c>
      <c r="K15" s="3">
        <f>E15/$E$4</f>
        <v>8.4481921361893222E-3</v>
      </c>
    </row>
    <row r="16" spans="1:11">
      <c r="A16" s="199"/>
      <c r="B16" s="199"/>
      <c r="C16" s="204" t="s">
        <v>12</v>
      </c>
      <c r="D16" s="204"/>
      <c r="E16" s="203">
        <v>55200</v>
      </c>
      <c r="G16" s="3">
        <f>E16/$E$11</f>
        <v>0.18239640123970072</v>
      </c>
      <c r="K16" s="3">
        <f>E16/$E$4</f>
        <v>5.9896940152876305E-2</v>
      </c>
    </row>
    <row r="17" spans="1:11" ht="16.5" customHeight="1">
      <c r="A17" s="199"/>
      <c r="B17" s="199"/>
      <c r="C17" s="204" t="s">
        <v>13</v>
      </c>
      <c r="D17" s="204"/>
      <c r="E17" s="203">
        <v>54502.67</v>
      </c>
      <c r="G17" s="3">
        <f>-E17/$E$11</f>
        <v>-0.1800922258325181</v>
      </c>
      <c r="K17" s="3">
        <f>-E17/$E$4</f>
        <v>-5.914027469496317E-2</v>
      </c>
    </row>
    <row r="18" spans="1:11" ht="16.5" customHeight="1">
      <c r="A18" s="209" t="s">
        <v>14</v>
      </c>
      <c r="B18" s="209"/>
      <c r="C18" s="209"/>
      <c r="D18" s="209"/>
      <c r="E18" s="207">
        <f>+E19+E24</f>
        <v>253104.79</v>
      </c>
      <c r="H18" s="3"/>
      <c r="I18" s="3">
        <f>E18/E28</f>
        <v>0.27464134889558561</v>
      </c>
    </row>
    <row r="19" spans="1:11" ht="16.5" customHeight="1">
      <c r="A19" s="199"/>
      <c r="B19" s="205" t="s">
        <v>15</v>
      </c>
      <c r="C19" s="205"/>
      <c r="D19" s="205"/>
      <c r="E19" s="207">
        <f>+E20+E22+E23</f>
        <v>146804.79</v>
      </c>
      <c r="H19" s="3">
        <f>E19/E18</f>
        <v>0.58001585035194314</v>
      </c>
      <c r="I19" s="3"/>
    </row>
    <row r="20" spans="1:11">
      <c r="A20" s="199"/>
      <c r="B20" s="206" t="s">
        <v>16</v>
      </c>
      <c r="C20" s="206"/>
      <c r="D20" s="206"/>
      <c r="E20" s="203">
        <v>139455.85999999999</v>
      </c>
      <c r="G20" s="3">
        <f>E20/$E$19</f>
        <v>0.94994080234030498</v>
      </c>
      <c r="H20" s="3"/>
      <c r="I20" s="3"/>
    </row>
    <row r="21" spans="1:11">
      <c r="A21" s="199"/>
      <c r="B21" s="204" t="s">
        <v>23</v>
      </c>
      <c r="C21" s="204"/>
      <c r="D21" s="204"/>
      <c r="E21" s="203"/>
      <c r="G21" s="3">
        <f>E21/$E$19</f>
        <v>0</v>
      </c>
      <c r="H21" s="3"/>
      <c r="I21" s="3"/>
    </row>
    <row r="22" spans="1:11" ht="16.5" customHeight="1">
      <c r="A22" s="199"/>
      <c r="B22" s="204" t="s">
        <v>17</v>
      </c>
      <c r="C22" s="204"/>
      <c r="D22" s="204"/>
      <c r="E22" s="203">
        <v>5334.92</v>
      </c>
      <c r="G22" s="3">
        <f>E22/$E$19</f>
        <v>3.6340231132785242E-2</v>
      </c>
      <c r="H22" s="3"/>
      <c r="I22" s="3"/>
    </row>
    <row r="23" spans="1:11" ht="16.5" customHeight="1">
      <c r="A23" s="199"/>
      <c r="B23" s="204" t="s">
        <v>18</v>
      </c>
      <c r="C23" s="204"/>
      <c r="D23" s="204"/>
      <c r="E23" s="203">
        <v>2014.01</v>
      </c>
      <c r="G23" s="3">
        <f>E23/$E$19</f>
        <v>1.3718966526909645E-2</v>
      </c>
      <c r="H23" s="3"/>
      <c r="I23" s="3"/>
    </row>
    <row r="24" spans="1:11" ht="16.5" customHeight="1">
      <c r="A24" s="199"/>
      <c r="B24" s="205" t="s">
        <v>19</v>
      </c>
      <c r="C24" s="205"/>
      <c r="D24" s="205"/>
      <c r="E24" s="207">
        <f>+E25</f>
        <v>106300</v>
      </c>
      <c r="H24" s="3">
        <f>E24/E18</f>
        <v>0.4199841496480568</v>
      </c>
      <c r="I24" s="3"/>
    </row>
    <row r="25" spans="1:11">
      <c r="A25" s="199"/>
      <c r="B25" s="204" t="s">
        <v>20</v>
      </c>
      <c r="C25" s="204"/>
      <c r="D25" s="204"/>
      <c r="E25" s="203">
        <v>106300</v>
      </c>
      <c r="G25" s="3">
        <f>E25/$E$24</f>
        <v>1</v>
      </c>
    </row>
    <row r="26" spans="1:11" ht="16.5" customHeight="1">
      <c r="A26" s="201" t="s">
        <v>24</v>
      </c>
      <c r="B26" s="199"/>
      <c r="C26" s="201"/>
      <c r="D26" s="201"/>
      <c r="E26" s="203"/>
      <c r="G26" s="3"/>
      <c r="I26" s="3">
        <f>E27/E28</f>
        <v>0.72535865110441433</v>
      </c>
    </row>
    <row r="27" spans="1:11" ht="16.5" customHeight="1">
      <c r="A27" s="199"/>
      <c r="B27" s="201" t="s">
        <v>21</v>
      </c>
      <c r="C27" s="201"/>
      <c r="D27" s="201"/>
      <c r="E27" s="207">
        <f>+E4-E18</f>
        <v>668478.17999999993</v>
      </c>
      <c r="G27" s="3">
        <v>1</v>
      </c>
    </row>
    <row r="28" spans="1:11" ht="16.5" customHeight="1">
      <c r="A28" s="201" t="s">
        <v>22</v>
      </c>
      <c r="B28" s="201"/>
      <c r="C28" s="201"/>
      <c r="D28" s="201"/>
      <c r="E28" s="207">
        <f>+E18+E27</f>
        <v>921582.97</v>
      </c>
      <c r="G28" s="3"/>
      <c r="J28" s="2">
        <f>I26+I18</f>
        <v>1</v>
      </c>
    </row>
    <row r="29" spans="1:11">
      <c r="A29" s="199"/>
      <c r="B29" s="199"/>
      <c r="C29" s="199"/>
      <c r="D29" s="199"/>
      <c r="E29" s="203"/>
      <c r="G29" s="3"/>
    </row>
    <row r="30" spans="1:11">
      <c r="G30" s="3"/>
    </row>
  </sheetData>
  <mergeCells count="23">
    <mergeCell ref="C13:D13"/>
    <mergeCell ref="C14:D14"/>
    <mergeCell ref="A1:K1"/>
    <mergeCell ref="A2:XFD2"/>
    <mergeCell ref="C15:D15"/>
    <mergeCell ref="A3:D3"/>
    <mergeCell ref="B5:D5"/>
    <mergeCell ref="C6:D6"/>
    <mergeCell ref="C7:D7"/>
    <mergeCell ref="C8:D8"/>
    <mergeCell ref="C9:D9"/>
    <mergeCell ref="C10:D10"/>
    <mergeCell ref="B11:D11"/>
    <mergeCell ref="C12:D12"/>
    <mergeCell ref="B23:D23"/>
    <mergeCell ref="B24:D24"/>
    <mergeCell ref="B25:D25"/>
    <mergeCell ref="C16:D16"/>
    <mergeCell ref="C17:D17"/>
    <mergeCell ref="B19:D19"/>
    <mergeCell ref="B20:D20"/>
    <mergeCell ref="B21:D21"/>
    <mergeCell ref="B22:D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CF986-F623-481B-A393-5D1FD22FDBC7}">
  <dimension ref="A1:F39"/>
  <sheetViews>
    <sheetView zoomScale="89" zoomScaleNormal="89" workbookViewId="0">
      <selection activeCell="H13" sqref="H13"/>
    </sheetView>
  </sheetViews>
  <sheetFormatPr baseColWidth="10" defaultRowHeight="15"/>
  <cols>
    <col min="1" max="1" width="28.140625" customWidth="1"/>
    <col min="2" max="2" width="15.5703125" bestFit="1" customWidth="1"/>
    <col min="3" max="3" width="15.28515625" bestFit="1" customWidth="1"/>
    <col min="4" max="4" width="16.140625" bestFit="1" customWidth="1"/>
    <col min="5" max="5" width="11.85546875" bestFit="1" customWidth="1"/>
  </cols>
  <sheetData>
    <row r="1" spans="1:6" ht="35.25" customHeight="1">
      <c r="A1" s="168" t="s">
        <v>261</v>
      </c>
      <c r="B1" s="168"/>
      <c r="C1" s="168"/>
      <c r="D1" s="168"/>
      <c r="E1" s="168"/>
      <c r="F1" s="168"/>
    </row>
    <row r="2" spans="1:6">
      <c r="A2" s="124" t="s">
        <v>218</v>
      </c>
      <c r="B2" s="124"/>
      <c r="C2" s="124"/>
      <c r="D2" s="124"/>
      <c r="E2" s="124"/>
    </row>
    <row r="3" spans="1:6" s="13" customFormat="1">
      <c r="A3" s="126" t="s">
        <v>112</v>
      </c>
      <c r="B3" s="127"/>
      <c r="C3" s="127"/>
      <c r="D3" s="127"/>
      <c r="E3" s="128"/>
    </row>
    <row r="4" spans="1:6">
      <c r="A4" s="125" t="s">
        <v>117</v>
      </c>
      <c r="B4" s="125">
        <v>2016</v>
      </c>
      <c r="C4" s="125">
        <v>2017</v>
      </c>
      <c r="D4" s="124" t="s">
        <v>26</v>
      </c>
      <c r="E4" s="124"/>
    </row>
    <row r="5" spans="1:6">
      <c r="A5" s="125"/>
      <c r="B5" s="125"/>
      <c r="C5" s="125"/>
      <c r="D5" s="22" t="s">
        <v>49</v>
      </c>
      <c r="E5" s="22" t="s">
        <v>50</v>
      </c>
    </row>
    <row r="6" spans="1:6">
      <c r="A6" s="19" t="s">
        <v>112</v>
      </c>
      <c r="B6" s="9">
        <v>705991.79</v>
      </c>
      <c r="C6" s="10">
        <v>921582.97</v>
      </c>
      <c r="D6" s="9">
        <v>215591.18</v>
      </c>
      <c r="E6" s="23">
        <v>0.3054</v>
      </c>
    </row>
    <row r="7" spans="1:6" ht="15" customHeight="1">
      <c r="A7" s="19" t="s">
        <v>45</v>
      </c>
      <c r="B7" s="10">
        <v>554359.76</v>
      </c>
      <c r="C7" s="10">
        <v>618945.42000000004</v>
      </c>
      <c r="D7" s="9">
        <v>64585.66</v>
      </c>
      <c r="E7" s="23">
        <v>0.11650000000000001</v>
      </c>
    </row>
    <row r="8" spans="1:6" ht="15" customHeight="1">
      <c r="A8" s="24" t="s">
        <v>29</v>
      </c>
      <c r="B8" s="9">
        <v>34135.26</v>
      </c>
      <c r="C8" s="10">
        <v>34135.26</v>
      </c>
      <c r="D8" s="9" t="s">
        <v>113</v>
      </c>
      <c r="E8" s="23">
        <v>0</v>
      </c>
    </row>
    <row r="9" spans="1:6">
      <c r="A9" s="25" t="s">
        <v>114</v>
      </c>
      <c r="B9" s="9">
        <v>295603.34000000003</v>
      </c>
      <c r="C9" s="10">
        <v>376879.47</v>
      </c>
      <c r="D9" s="9">
        <v>81276.13</v>
      </c>
      <c r="E9" s="23">
        <v>0.27489999999999998</v>
      </c>
    </row>
    <row r="10" spans="1:6" ht="15" customHeight="1">
      <c r="A10" s="24" t="s">
        <v>115</v>
      </c>
      <c r="B10" s="9">
        <v>29560.33</v>
      </c>
      <c r="C10" s="10">
        <v>37687.949999999997</v>
      </c>
      <c r="D10" s="9">
        <v>8127.62</v>
      </c>
      <c r="E10" s="23">
        <v>0.27500000000000002</v>
      </c>
    </row>
    <row r="11" spans="1:6">
      <c r="A11" s="26" t="s">
        <v>30</v>
      </c>
      <c r="B11" s="9">
        <v>6140.48</v>
      </c>
      <c r="C11" s="10">
        <v>4693.62</v>
      </c>
      <c r="D11" s="9">
        <v>-1446.86</v>
      </c>
      <c r="E11" s="23">
        <v>-0.2356</v>
      </c>
    </row>
    <row r="12" spans="1:6">
      <c r="A12" s="24" t="s">
        <v>44</v>
      </c>
      <c r="B12" s="9">
        <v>248041.01</v>
      </c>
      <c r="C12" s="10">
        <v>240925.02</v>
      </c>
      <c r="D12" s="9">
        <v>-7115.99</v>
      </c>
      <c r="E12" s="23">
        <v>-2.87E-2</v>
      </c>
    </row>
    <row r="13" spans="1:6">
      <c r="A13" s="24" t="s">
        <v>46</v>
      </c>
      <c r="B13" s="9">
        <v>151632.03</v>
      </c>
      <c r="C13" s="10">
        <v>302637.55</v>
      </c>
      <c r="D13" s="9">
        <v>151005.51999999999</v>
      </c>
      <c r="E13" s="23">
        <v>0.99590000000000001</v>
      </c>
    </row>
    <row r="14" spans="1:6">
      <c r="A14" s="24" t="s">
        <v>31</v>
      </c>
      <c r="B14" s="9">
        <v>60000</v>
      </c>
      <c r="C14" s="10">
        <v>220000</v>
      </c>
      <c r="D14" s="9">
        <v>160000</v>
      </c>
      <c r="E14" s="23">
        <v>2.6667000000000001</v>
      </c>
    </row>
    <row r="15" spans="1:6">
      <c r="A15" s="24" t="s">
        <v>32</v>
      </c>
      <c r="B15" s="9">
        <v>2079</v>
      </c>
      <c r="C15" s="10">
        <v>2016.9</v>
      </c>
      <c r="D15" s="9">
        <v>-62.1</v>
      </c>
      <c r="E15" s="23">
        <v>-2.9899999999999999E-2</v>
      </c>
    </row>
    <row r="16" spans="1:6">
      <c r="A16" s="26" t="s">
        <v>33</v>
      </c>
      <c r="B16" s="9">
        <v>71153.649999999994</v>
      </c>
      <c r="C16" s="10">
        <v>72137.61</v>
      </c>
      <c r="D16" s="9">
        <v>983.96</v>
      </c>
      <c r="E16" s="23">
        <v>1.38E-2</v>
      </c>
    </row>
    <row r="17" spans="1:5" ht="15" customHeight="1">
      <c r="A17" s="24" t="s">
        <v>34</v>
      </c>
      <c r="B17" s="9">
        <v>6222.32</v>
      </c>
      <c r="C17" s="10">
        <v>7785.71</v>
      </c>
      <c r="D17" s="9">
        <v>1563.39</v>
      </c>
      <c r="E17" s="23">
        <v>0.25130000000000002</v>
      </c>
    </row>
    <row r="18" spans="1:5">
      <c r="A18" s="27" t="s">
        <v>116</v>
      </c>
      <c r="B18" s="9">
        <v>55200</v>
      </c>
      <c r="C18" s="10">
        <v>55200</v>
      </c>
      <c r="D18" s="9" t="s">
        <v>113</v>
      </c>
      <c r="E18" s="23">
        <v>0</v>
      </c>
    </row>
    <row r="19" spans="1:5">
      <c r="A19" s="27" t="s">
        <v>35</v>
      </c>
      <c r="B19" s="9">
        <v>43022.94</v>
      </c>
      <c r="C19" s="10">
        <v>54502.67</v>
      </c>
      <c r="D19" s="9">
        <v>11479.73</v>
      </c>
      <c r="E19" s="23">
        <v>0.26679999999999998</v>
      </c>
    </row>
    <row r="22" spans="1:5">
      <c r="A22" s="124" t="s">
        <v>219</v>
      </c>
      <c r="B22" s="124"/>
      <c r="C22" s="124"/>
      <c r="D22" s="124"/>
      <c r="E22" s="124"/>
    </row>
    <row r="23" spans="1:5" s="13" customFormat="1">
      <c r="A23" s="126" t="s">
        <v>123</v>
      </c>
      <c r="B23" s="127"/>
      <c r="C23" s="127"/>
      <c r="D23" s="127"/>
      <c r="E23" s="128"/>
    </row>
    <row r="24" spans="1:5">
      <c r="A24" s="125" t="s">
        <v>117</v>
      </c>
      <c r="B24" s="125">
        <v>2016</v>
      </c>
      <c r="C24" s="125">
        <v>2017</v>
      </c>
      <c r="D24" s="124" t="s">
        <v>26</v>
      </c>
      <c r="E24" s="124"/>
    </row>
    <row r="25" spans="1:5">
      <c r="A25" s="125"/>
      <c r="B25" s="125"/>
      <c r="C25" s="125"/>
      <c r="D25" s="22" t="s">
        <v>49</v>
      </c>
      <c r="E25" s="22" t="s">
        <v>50</v>
      </c>
    </row>
    <row r="26" spans="1:5">
      <c r="A26" s="27" t="s">
        <v>123</v>
      </c>
      <c r="B26" s="9">
        <v>292902.09999999998</v>
      </c>
      <c r="C26" s="10">
        <v>253104.79</v>
      </c>
      <c r="D26" s="9">
        <v>-39797.31</v>
      </c>
      <c r="E26" s="23">
        <v>-0.13589999999999999</v>
      </c>
    </row>
    <row r="27" spans="1:5">
      <c r="A27" s="27" t="s">
        <v>47</v>
      </c>
      <c r="B27" s="10">
        <v>292902.09999999998</v>
      </c>
      <c r="C27" s="10">
        <v>146804.79</v>
      </c>
      <c r="D27" s="9">
        <v>-146097.31</v>
      </c>
      <c r="E27" s="23">
        <v>-0.49880000000000002</v>
      </c>
    </row>
    <row r="28" spans="1:5">
      <c r="A28" s="27" t="s">
        <v>221</v>
      </c>
      <c r="B28" s="9">
        <v>244315.21</v>
      </c>
      <c r="C28" s="10">
        <v>139455.85999999999</v>
      </c>
      <c r="D28" s="9">
        <v>-104859.35</v>
      </c>
      <c r="E28" s="23">
        <v>-0.42920000000000003</v>
      </c>
    </row>
    <row r="29" spans="1:5">
      <c r="A29" s="27" t="s">
        <v>124</v>
      </c>
      <c r="B29" s="9">
        <v>45206.19</v>
      </c>
      <c r="C29" s="10"/>
      <c r="D29" s="9">
        <v>-45206.19</v>
      </c>
      <c r="E29" s="23">
        <v>-1</v>
      </c>
    </row>
    <row r="30" spans="1:5">
      <c r="A30" s="27" t="s">
        <v>220</v>
      </c>
      <c r="B30" s="9">
        <v>1694.57</v>
      </c>
      <c r="C30" s="10">
        <v>5334.92</v>
      </c>
      <c r="D30" s="9">
        <v>3640.35</v>
      </c>
      <c r="E30" s="23">
        <v>2.1482000000000001</v>
      </c>
    </row>
    <row r="31" spans="1:5">
      <c r="A31" s="27" t="s">
        <v>36</v>
      </c>
      <c r="B31" s="9">
        <v>1686.13</v>
      </c>
      <c r="C31" s="10">
        <v>2014.01</v>
      </c>
      <c r="D31" s="9">
        <v>327.88</v>
      </c>
      <c r="E31" s="23">
        <v>0.19450000000000001</v>
      </c>
    </row>
    <row r="32" spans="1:5">
      <c r="A32" s="27" t="s">
        <v>48</v>
      </c>
      <c r="B32" s="9"/>
      <c r="C32" s="10">
        <v>106300</v>
      </c>
      <c r="D32" s="9">
        <v>106300</v>
      </c>
      <c r="E32" s="23">
        <v>0</v>
      </c>
    </row>
    <row r="33" spans="1:5">
      <c r="A33" s="27" t="s">
        <v>222</v>
      </c>
      <c r="B33" s="10"/>
      <c r="C33" s="10">
        <v>106300</v>
      </c>
      <c r="D33" s="9">
        <v>106300</v>
      </c>
      <c r="E33" s="23">
        <v>0</v>
      </c>
    </row>
    <row r="35" spans="1:5">
      <c r="A35" s="124" t="s">
        <v>219</v>
      </c>
      <c r="B35" s="124"/>
      <c r="C35" s="124"/>
      <c r="D35" s="124"/>
      <c r="E35" s="124"/>
    </row>
    <row r="36" spans="1:5" s="13" customFormat="1">
      <c r="A36" s="126" t="s">
        <v>223</v>
      </c>
      <c r="B36" s="127"/>
      <c r="C36" s="127"/>
      <c r="D36" s="127"/>
      <c r="E36" s="128"/>
    </row>
    <row r="37" spans="1:5">
      <c r="A37" s="125" t="s">
        <v>117</v>
      </c>
      <c r="B37" s="125">
        <v>2016</v>
      </c>
      <c r="C37" s="125">
        <v>2017</v>
      </c>
      <c r="D37" s="124" t="s">
        <v>26</v>
      </c>
      <c r="E37" s="124"/>
    </row>
    <row r="38" spans="1:5">
      <c r="A38" s="125"/>
      <c r="B38" s="125"/>
      <c r="C38" s="125"/>
      <c r="D38" s="22" t="s">
        <v>49</v>
      </c>
      <c r="E38" s="22" t="s">
        <v>50</v>
      </c>
    </row>
    <row r="39" spans="1:5">
      <c r="A39" s="27" t="s">
        <v>111</v>
      </c>
      <c r="B39" s="9">
        <v>413089.69</v>
      </c>
      <c r="C39" s="10">
        <v>668478.18000000005</v>
      </c>
      <c r="D39" s="9">
        <v>255388.49</v>
      </c>
      <c r="E39" s="23">
        <v>0.61819999999999997</v>
      </c>
    </row>
  </sheetData>
  <mergeCells count="19">
    <mergeCell ref="A1:F1"/>
    <mergeCell ref="A35:E35"/>
    <mergeCell ref="A37:A38"/>
    <mergeCell ref="B37:B38"/>
    <mergeCell ref="C37:C38"/>
    <mergeCell ref="D37:E37"/>
    <mergeCell ref="A36:E36"/>
    <mergeCell ref="A22:E22"/>
    <mergeCell ref="A24:A25"/>
    <mergeCell ref="B24:B25"/>
    <mergeCell ref="C24:C25"/>
    <mergeCell ref="D24:E24"/>
    <mergeCell ref="A23:E23"/>
    <mergeCell ref="A2:E2"/>
    <mergeCell ref="A4:A5"/>
    <mergeCell ref="B4:B5"/>
    <mergeCell ref="C4:C5"/>
    <mergeCell ref="D4:E4"/>
    <mergeCell ref="A3:E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048FF-E934-4A23-80EA-6C881A7CC384}">
  <dimension ref="A1:C31"/>
  <sheetViews>
    <sheetView zoomScale="110" zoomScaleNormal="110" workbookViewId="0">
      <selection activeCell="F11" sqref="F11"/>
    </sheetView>
  </sheetViews>
  <sheetFormatPr baseColWidth="10" defaultRowHeight="15"/>
  <cols>
    <col min="1" max="1" width="38" customWidth="1"/>
    <col min="2" max="3" width="15.5703125" bestFit="1" customWidth="1"/>
  </cols>
  <sheetData>
    <row r="1" spans="1:3">
      <c r="A1" s="167" t="s">
        <v>262</v>
      </c>
      <c r="B1" s="167"/>
      <c r="C1" s="167"/>
    </row>
    <row r="2" spans="1:3">
      <c r="A2" s="169"/>
      <c r="B2" s="169"/>
      <c r="C2" s="169"/>
    </row>
    <row r="3" spans="1:3" s="13" customFormat="1">
      <c r="A3" s="124" t="s">
        <v>216</v>
      </c>
      <c r="B3" s="124"/>
      <c r="C3" s="124"/>
    </row>
    <row r="4" spans="1:3" s="13" customFormat="1">
      <c r="A4" s="126" t="s">
        <v>215</v>
      </c>
      <c r="B4" s="127"/>
      <c r="C4" s="128"/>
    </row>
    <row r="5" spans="1:3" s="13" customFormat="1">
      <c r="A5" s="22" t="s">
        <v>117</v>
      </c>
      <c r="B5" s="28" t="s">
        <v>122</v>
      </c>
      <c r="C5" s="22" t="s">
        <v>27</v>
      </c>
    </row>
    <row r="6" spans="1:3" s="13" customFormat="1">
      <c r="A6" s="19" t="s">
        <v>88</v>
      </c>
      <c r="B6" s="10">
        <v>1669255.07</v>
      </c>
      <c r="C6" s="23">
        <v>1</v>
      </c>
    </row>
    <row r="7" spans="1:3" s="13" customFormat="1">
      <c r="A7" s="19" t="s">
        <v>118</v>
      </c>
      <c r="B7" s="10">
        <v>1384594.1</v>
      </c>
      <c r="C7" s="23">
        <v>0.82950000000000002</v>
      </c>
    </row>
    <row r="8" spans="1:3" s="13" customFormat="1">
      <c r="A8" s="19" t="s">
        <v>37</v>
      </c>
      <c r="B8" s="10">
        <v>284660.96999999997</v>
      </c>
      <c r="C8" s="23">
        <v>0.17050000000000001</v>
      </c>
    </row>
    <row r="9" spans="1:3" s="13" customFormat="1">
      <c r="A9" s="19" t="s">
        <v>119</v>
      </c>
      <c r="B9" s="10">
        <v>215585.16</v>
      </c>
      <c r="C9" s="23">
        <v>0.12920000000000001</v>
      </c>
    </row>
    <row r="10" spans="1:3" s="13" customFormat="1">
      <c r="A10" s="19" t="s">
        <v>38</v>
      </c>
      <c r="B10" s="10">
        <v>69075.81</v>
      </c>
      <c r="C10" s="23">
        <v>4.1399999999999999E-2</v>
      </c>
    </row>
    <row r="11" spans="1:3" s="13" customFormat="1">
      <c r="A11" s="19" t="s">
        <v>120</v>
      </c>
      <c r="B11" s="10">
        <v>2293.86</v>
      </c>
      <c r="C11" s="23">
        <v>1.4E-3</v>
      </c>
    </row>
    <row r="12" spans="1:3" s="13" customFormat="1">
      <c r="A12" s="19" t="s">
        <v>39</v>
      </c>
      <c r="B12" s="10">
        <v>66781.95</v>
      </c>
      <c r="C12" s="23">
        <v>0.04</v>
      </c>
    </row>
    <row r="13" spans="1:3" s="13" customFormat="1">
      <c r="A13" s="19" t="s">
        <v>40</v>
      </c>
      <c r="B13" s="10">
        <v>10017.290000000001</v>
      </c>
      <c r="C13" s="23">
        <v>6.0000000000000001E-3</v>
      </c>
    </row>
    <row r="14" spans="1:3" s="13" customFormat="1">
      <c r="A14" s="19" t="s">
        <v>41</v>
      </c>
      <c r="B14" s="10">
        <v>56764.66</v>
      </c>
      <c r="C14" s="23">
        <v>3.4000000000000002E-2</v>
      </c>
    </row>
    <row r="15" spans="1:3" s="13" customFormat="1">
      <c r="A15" s="19" t="s">
        <v>121</v>
      </c>
      <c r="B15" s="10">
        <v>6123.93</v>
      </c>
      <c r="C15" s="23">
        <v>3.7000000000000002E-3</v>
      </c>
    </row>
    <row r="16" spans="1:3" s="13" customFormat="1">
      <c r="A16" s="19" t="s">
        <v>42</v>
      </c>
      <c r="B16" s="10">
        <v>50640.73</v>
      </c>
      <c r="C16" s="23">
        <v>3.0300000000000001E-2</v>
      </c>
    </row>
    <row r="18" spans="1:3">
      <c r="A18" s="124" t="s">
        <v>216</v>
      </c>
      <c r="B18" s="124"/>
      <c r="C18" s="124"/>
    </row>
    <row r="19" spans="1:3" s="13" customFormat="1">
      <c r="A19" s="126" t="s">
        <v>217</v>
      </c>
      <c r="B19" s="127"/>
      <c r="C19" s="128"/>
    </row>
    <row r="20" spans="1:3">
      <c r="A20" s="22" t="s">
        <v>117</v>
      </c>
      <c r="B20" s="28" t="s">
        <v>122</v>
      </c>
      <c r="C20" s="22" t="s">
        <v>27</v>
      </c>
    </row>
    <row r="21" spans="1:3">
      <c r="A21" s="19" t="s">
        <v>88</v>
      </c>
      <c r="B21" s="9">
        <v>1990913.8</v>
      </c>
      <c r="C21" s="23">
        <v>1</v>
      </c>
    </row>
    <row r="22" spans="1:3">
      <c r="A22" s="19" t="s">
        <v>118</v>
      </c>
      <c r="B22" s="9">
        <v>1686270.04</v>
      </c>
      <c r="C22" s="23">
        <v>0.84699999999999998</v>
      </c>
    </row>
    <row r="23" spans="1:3">
      <c r="A23" s="19" t="s">
        <v>37</v>
      </c>
      <c r="B23" s="10">
        <v>304643.76</v>
      </c>
      <c r="C23" s="23">
        <v>0.153</v>
      </c>
    </row>
    <row r="24" spans="1:3">
      <c r="A24" s="19" t="s">
        <v>119</v>
      </c>
      <c r="B24" s="10">
        <v>231438.83</v>
      </c>
      <c r="C24" s="23">
        <v>0.1162</v>
      </c>
    </row>
    <row r="25" spans="1:3">
      <c r="A25" s="19" t="s">
        <v>38</v>
      </c>
      <c r="B25" s="9">
        <v>73204.929999999993</v>
      </c>
      <c r="C25" s="23">
        <v>3.6799999999999999E-2</v>
      </c>
    </row>
    <row r="26" spans="1:3">
      <c r="A26" s="19" t="s">
        <v>120</v>
      </c>
      <c r="B26" s="9">
        <v>5223.8999999999996</v>
      </c>
      <c r="C26" s="23">
        <v>2.5999999999999999E-3</v>
      </c>
    </row>
    <row r="27" spans="1:3">
      <c r="A27" s="19" t="s">
        <v>39</v>
      </c>
      <c r="B27" s="9">
        <v>67981.03</v>
      </c>
      <c r="C27" s="23">
        <v>3.4099999999999998E-2</v>
      </c>
    </row>
    <row r="28" spans="1:3">
      <c r="A28" s="19" t="s">
        <v>40</v>
      </c>
      <c r="B28" s="9">
        <v>10197.15</v>
      </c>
      <c r="C28" s="23">
        <v>5.1000000000000004E-3</v>
      </c>
    </row>
    <row r="29" spans="1:3">
      <c r="A29" s="19" t="s">
        <v>41</v>
      </c>
      <c r="B29" s="9">
        <v>57783.88</v>
      </c>
      <c r="C29" s="23">
        <v>2.9000000000000001E-2</v>
      </c>
    </row>
    <row r="30" spans="1:3">
      <c r="A30" s="19" t="s">
        <v>121</v>
      </c>
      <c r="B30" s="9">
        <v>6220.38</v>
      </c>
      <c r="C30" s="23">
        <v>3.0999999999999999E-3</v>
      </c>
    </row>
    <row r="31" spans="1:3">
      <c r="A31" s="19" t="s">
        <v>42</v>
      </c>
      <c r="B31" s="9">
        <v>51563.5</v>
      </c>
      <c r="C31" s="23">
        <v>2.5899999999999999E-2</v>
      </c>
    </row>
  </sheetData>
  <mergeCells count="6">
    <mergeCell ref="A1:C1"/>
    <mergeCell ref="A2:C2"/>
    <mergeCell ref="A19:C19"/>
    <mergeCell ref="A18:C18"/>
    <mergeCell ref="A3:C3"/>
    <mergeCell ref="A4:C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E857F-DD24-4AB2-B38F-776804516D47}">
  <dimension ref="A1:L17"/>
  <sheetViews>
    <sheetView zoomScale="90" zoomScaleNormal="90" zoomScalePageLayoutView="118" workbookViewId="0">
      <selection activeCell="I4" sqref="I4"/>
    </sheetView>
  </sheetViews>
  <sheetFormatPr baseColWidth="10" defaultRowHeight="15"/>
  <cols>
    <col min="1" max="1" width="36.5703125" style="14" customWidth="1"/>
    <col min="2" max="2" width="15" style="214" customWidth="1"/>
    <col min="3" max="3" width="15" style="213" customWidth="1"/>
    <col min="4" max="4" width="13.85546875" style="213" customWidth="1"/>
    <col min="5" max="5" width="9.28515625" style="213" customWidth="1"/>
    <col min="6" max="16384" width="11.42578125" style="14"/>
  </cols>
  <sheetData>
    <row r="1" spans="1:12" ht="22.5" customHeight="1">
      <c r="A1" s="217" t="s">
        <v>219</v>
      </c>
      <c r="B1" s="217"/>
      <c r="C1" s="217"/>
      <c r="D1" s="217"/>
      <c r="E1" s="217"/>
      <c r="F1"/>
      <c r="G1"/>
      <c r="H1"/>
      <c r="I1"/>
      <c r="J1"/>
      <c r="K1"/>
      <c r="L1"/>
    </row>
    <row r="2" spans="1:12" ht="22.5" customHeight="1">
      <c r="A2" s="217" t="s">
        <v>269</v>
      </c>
      <c r="B2" s="217"/>
      <c r="C2" s="217"/>
      <c r="D2" s="217"/>
      <c r="E2" s="217"/>
      <c r="F2"/>
      <c r="G2"/>
      <c r="H2"/>
      <c r="I2"/>
      <c r="J2"/>
      <c r="K2"/>
      <c r="L2"/>
    </row>
    <row r="3" spans="1:12" ht="27.75" customHeight="1">
      <c r="A3" s="221" t="s">
        <v>117</v>
      </c>
      <c r="B3" s="222">
        <v>2016</v>
      </c>
      <c r="C3" s="222">
        <v>2017</v>
      </c>
      <c r="D3" s="223" t="s">
        <v>268</v>
      </c>
      <c r="E3" s="223"/>
      <c r="F3"/>
      <c r="G3"/>
      <c r="H3"/>
      <c r="I3"/>
      <c r="J3"/>
      <c r="K3"/>
      <c r="L3"/>
    </row>
    <row r="4" spans="1:12" ht="27.75" customHeight="1">
      <c r="A4" s="224"/>
      <c r="B4" s="225"/>
      <c r="C4" s="225"/>
      <c r="D4" s="221" t="s">
        <v>49</v>
      </c>
      <c r="E4" s="221" t="s">
        <v>50</v>
      </c>
      <c r="F4"/>
      <c r="G4"/>
      <c r="H4"/>
      <c r="I4"/>
      <c r="J4"/>
      <c r="K4"/>
      <c r="L4"/>
    </row>
    <row r="5" spans="1:12" ht="29.25" customHeight="1">
      <c r="A5" s="218" t="s">
        <v>88</v>
      </c>
      <c r="B5" s="219">
        <v>1990913.8</v>
      </c>
      <c r="C5" s="219">
        <v>1669255.07</v>
      </c>
      <c r="D5" s="219">
        <v>-321658.73</v>
      </c>
      <c r="E5" s="220">
        <v>-0.16156336351679312</v>
      </c>
      <c r="F5"/>
      <c r="G5"/>
      <c r="H5"/>
      <c r="I5"/>
      <c r="J5"/>
      <c r="K5"/>
      <c r="L5"/>
    </row>
    <row r="6" spans="1:12" ht="30" customHeight="1">
      <c r="A6" s="218" t="s">
        <v>267</v>
      </c>
      <c r="B6" s="219">
        <v>1686270.04</v>
      </c>
      <c r="C6" s="219">
        <v>1384594.1</v>
      </c>
      <c r="D6" s="219">
        <v>-301675.93999999994</v>
      </c>
      <c r="E6" s="220">
        <v>-0.17890132235285397</v>
      </c>
      <c r="F6"/>
      <c r="G6"/>
      <c r="H6"/>
      <c r="I6"/>
      <c r="J6"/>
      <c r="K6"/>
      <c r="L6"/>
    </row>
    <row r="7" spans="1:12" ht="30" customHeight="1">
      <c r="A7" s="218" t="s">
        <v>266</v>
      </c>
      <c r="B7" s="219">
        <v>304643.76</v>
      </c>
      <c r="C7" s="219">
        <v>284660.96999999997</v>
      </c>
      <c r="D7" s="219">
        <v>-19982.790000000037</v>
      </c>
      <c r="E7" s="220">
        <v>-6.5593958005245326E-2</v>
      </c>
      <c r="F7"/>
      <c r="G7"/>
      <c r="H7"/>
      <c r="I7"/>
      <c r="J7"/>
      <c r="K7"/>
      <c r="L7"/>
    </row>
    <row r="8" spans="1:12" ht="30" customHeight="1">
      <c r="A8" s="218" t="s">
        <v>265</v>
      </c>
      <c r="B8" s="219">
        <v>231438.83</v>
      </c>
      <c r="C8" s="219">
        <v>215585.16</v>
      </c>
      <c r="D8" s="219">
        <v>-15853.669999999984</v>
      </c>
      <c r="E8" s="220">
        <v>-6.8500475914089198E-2</v>
      </c>
      <c r="F8"/>
      <c r="G8"/>
      <c r="H8"/>
      <c r="I8"/>
      <c r="J8"/>
      <c r="K8"/>
      <c r="L8"/>
    </row>
    <row r="9" spans="1:12" ht="30" customHeight="1">
      <c r="A9" s="218" t="s">
        <v>38</v>
      </c>
      <c r="B9" s="219">
        <v>73204.930000000022</v>
      </c>
      <c r="C9" s="219">
        <v>69075.809999999969</v>
      </c>
      <c r="D9" s="219">
        <v>-4129.1200000000536</v>
      </c>
      <c r="E9" s="220">
        <v>-5.6404944311811409E-2</v>
      </c>
      <c r="F9"/>
      <c r="G9"/>
      <c r="H9"/>
      <c r="I9"/>
      <c r="J9"/>
      <c r="K9"/>
      <c r="L9"/>
    </row>
    <row r="10" spans="1:12" ht="30" customHeight="1">
      <c r="A10" s="218" t="s">
        <v>264</v>
      </c>
      <c r="B10" s="219">
        <v>5223.9000000000005</v>
      </c>
      <c r="C10" s="219">
        <v>2293.86</v>
      </c>
      <c r="D10" s="219">
        <v>-2930.0400000000004</v>
      </c>
      <c r="E10" s="220">
        <v>-0.56089128811807276</v>
      </c>
      <c r="F10"/>
      <c r="G10"/>
      <c r="H10"/>
      <c r="I10"/>
      <c r="J10"/>
      <c r="K10"/>
      <c r="L10"/>
    </row>
    <row r="11" spans="1:12" ht="30" customHeight="1">
      <c r="A11" s="218" t="s">
        <v>263</v>
      </c>
      <c r="B11" s="219">
        <v>67981.030000000028</v>
      </c>
      <c r="C11" s="219">
        <v>66781.949999999968</v>
      </c>
      <c r="D11" s="219">
        <v>-1199.08000000006</v>
      </c>
      <c r="E11" s="220">
        <v>-1.7638450020543369E-2</v>
      </c>
      <c r="F11"/>
      <c r="G11"/>
      <c r="H11"/>
      <c r="I11"/>
      <c r="J11"/>
      <c r="K11"/>
      <c r="L11"/>
    </row>
    <row r="12" spans="1:12" ht="30" customHeight="1">
      <c r="A12" s="218" t="s">
        <v>40</v>
      </c>
      <c r="B12" s="219">
        <v>10197.154500000004</v>
      </c>
      <c r="C12" s="219">
        <v>10017.292499999994</v>
      </c>
      <c r="D12" s="219">
        <v>-179.86200000001008</v>
      </c>
      <c r="E12" s="220">
        <v>-1.7638450020543477E-2</v>
      </c>
      <c r="F12"/>
      <c r="G12"/>
      <c r="H12"/>
      <c r="I12"/>
      <c r="J12"/>
      <c r="K12"/>
      <c r="L12"/>
    </row>
    <row r="13" spans="1:12" ht="30" customHeight="1">
      <c r="A13" s="218" t="s">
        <v>41</v>
      </c>
      <c r="B13" s="219">
        <v>57783.875500000024</v>
      </c>
      <c r="C13" s="219">
        <v>56764.657499999972</v>
      </c>
      <c r="D13" s="219">
        <v>-1019.2180000000517</v>
      </c>
      <c r="E13" s="220">
        <v>-1.7638450020543383E-2</v>
      </c>
      <c r="F13"/>
      <c r="G13"/>
      <c r="H13"/>
      <c r="I13"/>
      <c r="J13"/>
      <c r="K13"/>
      <c r="L13"/>
    </row>
    <row r="14" spans="1:12" ht="30" customHeight="1">
      <c r="A14" s="218" t="s">
        <v>43</v>
      </c>
      <c r="B14" s="219">
        <v>6220.38</v>
      </c>
      <c r="C14" s="219">
        <v>6123.93</v>
      </c>
      <c r="D14" s="219">
        <v>-96.449999999999818</v>
      </c>
      <c r="E14" s="220">
        <v>-1.5505483587819365E-2</v>
      </c>
      <c r="F14"/>
      <c r="G14"/>
      <c r="H14"/>
      <c r="I14"/>
      <c r="J14"/>
      <c r="K14"/>
      <c r="L14"/>
    </row>
    <row r="15" spans="1:12" ht="30" customHeight="1">
      <c r="A15" s="218" t="s">
        <v>42</v>
      </c>
      <c r="B15" s="219">
        <v>51563.495500000026</v>
      </c>
      <c r="C15" s="219">
        <v>50640.727499999972</v>
      </c>
      <c r="D15" s="219">
        <v>-922.7680000000546</v>
      </c>
      <c r="E15" s="220">
        <v>-1.7895761159172269E-2</v>
      </c>
      <c r="F15"/>
      <c r="G15"/>
      <c r="H15"/>
      <c r="I15"/>
      <c r="J15"/>
      <c r="K15"/>
      <c r="L15"/>
    </row>
    <row r="16" spans="1:12" ht="13.5" customHeight="1"/>
    <row r="17" ht="13.5" customHeight="1"/>
  </sheetData>
  <mergeCells count="3">
    <mergeCell ref="A1:E1"/>
    <mergeCell ref="A2:E2"/>
    <mergeCell ref="D3:E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1CF95-6249-42BE-BAEE-308239E581F5}">
  <dimension ref="A1:X104"/>
  <sheetViews>
    <sheetView zoomScale="90" zoomScaleNormal="90" workbookViewId="0">
      <selection activeCell="M6" sqref="M6"/>
    </sheetView>
  </sheetViews>
  <sheetFormatPr baseColWidth="10" defaultRowHeight="15"/>
  <cols>
    <col min="1" max="1" width="9.5703125" style="13" customWidth="1"/>
    <col min="2" max="2" width="11.42578125" style="35"/>
    <col min="3" max="3" width="47.7109375" style="13" bestFit="1" customWidth="1"/>
    <col min="4" max="4" width="12.7109375" style="30" bestFit="1" customWidth="1"/>
    <col min="5" max="6" width="12.5703125" style="30" bestFit="1" customWidth="1"/>
    <col min="7" max="7" width="12.7109375" style="30" bestFit="1" customWidth="1"/>
    <col min="8" max="9" width="12.5703125" style="30" bestFit="1" customWidth="1"/>
    <col min="10" max="10" width="11.42578125" style="18"/>
    <col min="11" max="11" width="23.7109375" style="18" customWidth="1"/>
    <col min="12" max="19" width="11.42578125" style="18"/>
    <col min="20" max="20" width="54" style="18" bestFit="1" customWidth="1"/>
    <col min="21" max="21" width="11.42578125" style="18"/>
    <col min="22" max="16384" width="11.42578125" style="13"/>
  </cols>
  <sheetData>
    <row r="1" spans="1:24" ht="15.75">
      <c r="A1" s="299" t="s">
        <v>420</v>
      </c>
      <c r="B1" s="299"/>
      <c r="C1" s="299"/>
      <c r="D1" s="299"/>
      <c r="E1" s="299"/>
      <c r="F1" s="299"/>
      <c r="G1" s="299"/>
      <c r="H1" s="299"/>
      <c r="I1" s="299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</row>
    <row r="2" spans="1:24" s="291" customFormat="1" ht="15.75"/>
    <row r="3" spans="1:24" ht="15.75">
      <c r="A3" s="292" t="s">
        <v>419</v>
      </c>
      <c r="B3" s="292"/>
      <c r="C3" s="292"/>
      <c r="D3" s="292"/>
      <c r="E3" s="292"/>
      <c r="F3" s="292"/>
      <c r="G3" s="292"/>
      <c r="H3" s="292"/>
      <c r="I3" s="292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4" s="53" customFormat="1" ht="15.75">
      <c r="A4" s="49"/>
      <c r="B4" s="50"/>
      <c r="C4" s="51"/>
      <c r="D4" s="129" t="s">
        <v>209</v>
      </c>
      <c r="E4" s="130"/>
      <c r="F4" s="131"/>
      <c r="G4" s="130" t="s">
        <v>210</v>
      </c>
      <c r="H4" s="130"/>
      <c r="I4" s="131"/>
      <c r="J4" s="18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pans="1:24" s="53" customFormat="1" ht="15.75">
      <c r="A5" s="68" t="s">
        <v>75</v>
      </c>
      <c r="B5" s="68" t="s">
        <v>76</v>
      </c>
      <c r="C5" s="68" t="s">
        <v>77</v>
      </c>
      <c r="D5" s="52" t="s">
        <v>78</v>
      </c>
      <c r="E5" s="52" t="s">
        <v>79</v>
      </c>
      <c r="F5" s="52" t="s">
        <v>80</v>
      </c>
      <c r="G5" s="52" t="s">
        <v>78</v>
      </c>
      <c r="H5" s="52" t="s">
        <v>79</v>
      </c>
      <c r="I5" s="52" t="s">
        <v>80</v>
      </c>
      <c r="J5" s="18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</row>
    <row r="6" spans="1:24" s="53" customFormat="1" ht="15.75">
      <c r="A6" s="36">
        <v>42929</v>
      </c>
      <c r="B6" s="70"/>
      <c r="C6" s="68">
        <v>4</v>
      </c>
      <c r="D6" s="52"/>
      <c r="E6" s="52"/>
      <c r="F6" s="52"/>
      <c r="G6" s="52"/>
      <c r="H6" s="52"/>
      <c r="I6" s="52"/>
      <c r="J6" s="18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pans="1:24" s="53" customFormat="1" ht="15.75">
      <c r="A7" s="68"/>
      <c r="B7" s="71">
        <v>1131</v>
      </c>
      <c r="C7" s="72" t="s">
        <v>82</v>
      </c>
      <c r="D7" s="73"/>
      <c r="E7" s="73">
        <f>D8</f>
        <v>486.59999999999997</v>
      </c>
      <c r="F7" s="73"/>
      <c r="G7" s="73"/>
      <c r="H7" s="73">
        <f>G8</f>
        <v>486.59999999999997</v>
      </c>
      <c r="I7" s="73"/>
      <c r="J7" s="18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spans="1:24" s="53" customFormat="1" ht="15.75">
      <c r="A8" s="68"/>
      <c r="B8" s="71">
        <v>113101</v>
      </c>
      <c r="C8" s="72" t="s">
        <v>243</v>
      </c>
      <c r="D8" s="73">
        <f>(81.1*6)</f>
        <v>486.59999999999997</v>
      </c>
      <c r="E8" s="73"/>
      <c r="F8" s="73"/>
      <c r="G8" s="73">
        <f>(81.1*6)</f>
        <v>486.59999999999997</v>
      </c>
      <c r="H8" s="73"/>
      <c r="I8" s="73"/>
      <c r="J8" s="18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</row>
    <row r="9" spans="1:24" s="53" customFormat="1" ht="15.75">
      <c r="A9" s="68"/>
      <c r="B9" s="71">
        <v>112501</v>
      </c>
      <c r="C9" s="71" t="s">
        <v>81</v>
      </c>
      <c r="D9" s="73"/>
      <c r="E9" s="73">
        <f>E7*12%</f>
        <v>58.391999999999996</v>
      </c>
      <c r="F9" s="73"/>
      <c r="G9" s="73"/>
      <c r="H9" s="73">
        <f>H7*12%</f>
        <v>58.391999999999996</v>
      </c>
      <c r="I9" s="73"/>
      <c r="J9" s="18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</row>
    <row r="10" spans="1:24" s="53" customFormat="1" ht="15.75">
      <c r="A10" s="68"/>
      <c r="B10" s="71">
        <v>211202</v>
      </c>
      <c r="C10" s="71" t="s">
        <v>156</v>
      </c>
      <c r="D10" s="73"/>
      <c r="E10" s="73"/>
      <c r="F10" s="73">
        <f>E7+E9-F11</f>
        <v>540.12599999999998</v>
      </c>
      <c r="G10" s="73"/>
      <c r="H10" s="73"/>
      <c r="I10" s="73">
        <f>H7+H9-I11</f>
        <v>540.12599999999998</v>
      </c>
      <c r="J10" s="18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spans="1:24" s="53" customFormat="1" ht="15.75">
      <c r="A11" s="68"/>
      <c r="B11" s="71">
        <v>211604</v>
      </c>
      <c r="C11" s="71" t="s">
        <v>229</v>
      </c>
      <c r="D11" s="73"/>
      <c r="E11" s="73"/>
      <c r="F11" s="73">
        <f>E7*1%</f>
        <v>4.8659999999999997</v>
      </c>
      <c r="G11" s="73"/>
      <c r="H11" s="73"/>
      <c r="I11" s="73">
        <f>H7*1%</f>
        <v>4.8659999999999997</v>
      </c>
      <c r="J11" s="18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 s="53" customFormat="1" ht="45.75">
      <c r="A12" s="68"/>
      <c r="B12" s="70"/>
      <c r="C12" s="74" t="s">
        <v>247</v>
      </c>
      <c r="D12" s="52"/>
      <c r="E12" s="52"/>
      <c r="F12" s="52"/>
      <c r="G12" s="52"/>
      <c r="H12" s="52"/>
      <c r="I12" s="52"/>
      <c r="J12" s="18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spans="1:24" s="53" customFormat="1" ht="15.75">
      <c r="A13" s="75"/>
      <c r="B13" s="76"/>
      <c r="C13" s="77"/>
      <c r="D13" s="78"/>
      <c r="E13" s="78"/>
      <c r="F13" s="78"/>
      <c r="G13" s="78"/>
      <c r="H13" s="78"/>
      <c r="I13" s="78"/>
      <c r="J13" s="18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spans="1:24" s="53" customFormat="1" ht="15.75">
      <c r="A14" s="290" t="s">
        <v>418</v>
      </c>
      <c r="B14" s="290"/>
      <c r="C14" s="290"/>
      <c r="D14" s="290"/>
      <c r="E14" s="290"/>
      <c r="F14" s="290"/>
      <c r="G14" s="290"/>
      <c r="H14" s="290"/>
      <c r="I14" s="290"/>
      <c r="J14" s="18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4" s="53" customFormat="1" ht="15.75">
      <c r="A15" s="49"/>
      <c r="B15" s="50"/>
      <c r="C15" s="51"/>
      <c r="D15" s="129" t="s">
        <v>209</v>
      </c>
      <c r="E15" s="130"/>
      <c r="F15" s="131"/>
      <c r="G15" s="130" t="s">
        <v>210</v>
      </c>
      <c r="H15" s="130"/>
      <c r="I15" s="131"/>
      <c r="J15" s="18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4" s="53" customFormat="1" ht="15.75">
      <c r="A16" s="68" t="s">
        <v>75</v>
      </c>
      <c r="B16" s="68" t="s">
        <v>76</v>
      </c>
      <c r="C16" s="68" t="s">
        <v>77</v>
      </c>
      <c r="D16" s="52" t="s">
        <v>78</v>
      </c>
      <c r="E16" s="52" t="s">
        <v>79</v>
      </c>
      <c r="F16" s="52" t="s">
        <v>80</v>
      </c>
      <c r="G16" s="52" t="s">
        <v>78</v>
      </c>
      <c r="H16" s="52" t="s">
        <v>79</v>
      </c>
      <c r="I16" s="52" t="s">
        <v>80</v>
      </c>
      <c r="J16" s="18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s="53" customFormat="1" ht="15.75">
      <c r="A17" s="69">
        <v>42924</v>
      </c>
      <c r="B17" s="71"/>
      <c r="C17" s="68">
        <v>2</v>
      </c>
      <c r="D17" s="73"/>
      <c r="E17" s="73"/>
      <c r="F17" s="73"/>
      <c r="G17" s="73"/>
      <c r="H17" s="73"/>
      <c r="I17" s="73"/>
      <c r="J17" s="18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s="53" customFormat="1" ht="15.75">
      <c r="A18" s="79"/>
      <c r="B18" s="71">
        <v>211202</v>
      </c>
      <c r="C18" s="72" t="s">
        <v>157</v>
      </c>
      <c r="D18" s="73"/>
      <c r="E18" s="73">
        <f>F19+F21</f>
        <v>87.917759999999987</v>
      </c>
      <c r="F18" s="73"/>
      <c r="G18" s="73"/>
      <c r="H18" s="73">
        <f>I19+I21</f>
        <v>87.917759999999987</v>
      </c>
      <c r="I18" s="73"/>
      <c r="J18" s="18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 s="53" customFormat="1" ht="15.75">
      <c r="A19" s="79"/>
      <c r="B19" s="71">
        <v>1131</v>
      </c>
      <c r="C19" s="71" t="s">
        <v>91</v>
      </c>
      <c r="D19" s="73"/>
      <c r="E19" s="73"/>
      <c r="F19" s="73">
        <f>D20</f>
        <v>78.49799999999999</v>
      </c>
      <c r="G19" s="73"/>
      <c r="H19" s="73"/>
      <c r="I19" s="73">
        <f>G20</f>
        <v>78.49799999999999</v>
      </c>
      <c r="J19" s="18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4" s="53" customFormat="1" ht="15.75">
      <c r="A20" s="79"/>
      <c r="B20" s="71">
        <v>113101</v>
      </c>
      <c r="C20" s="72" t="s">
        <v>245</v>
      </c>
      <c r="D20" s="73">
        <f>(80.1-(80.1*2%))*1</f>
        <v>78.49799999999999</v>
      </c>
      <c r="E20" s="73"/>
      <c r="F20" s="73"/>
      <c r="G20" s="73">
        <f>D20</f>
        <v>78.49799999999999</v>
      </c>
      <c r="H20" s="73"/>
      <c r="I20" s="73"/>
      <c r="J20" s="18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4" s="53" customFormat="1" ht="15.75">
      <c r="A21" s="79"/>
      <c r="B21" s="71">
        <v>112501</v>
      </c>
      <c r="C21" s="71" t="s">
        <v>83</v>
      </c>
      <c r="D21" s="73"/>
      <c r="E21" s="73"/>
      <c r="F21" s="73">
        <f>F19*12%</f>
        <v>9.4197599999999984</v>
      </c>
      <c r="G21" s="73"/>
      <c r="H21" s="73"/>
      <c r="I21" s="73">
        <f>I19*12%</f>
        <v>9.4197599999999984</v>
      </c>
      <c r="J21" s="18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</row>
    <row r="22" spans="1:24" s="53" customFormat="1" ht="30.75">
      <c r="A22" s="79"/>
      <c r="B22" s="71"/>
      <c r="C22" s="74" t="s">
        <v>186</v>
      </c>
      <c r="D22" s="73"/>
      <c r="E22" s="73"/>
      <c r="F22" s="73"/>
      <c r="G22" s="73"/>
      <c r="H22" s="73"/>
      <c r="I22" s="73"/>
      <c r="J22" s="18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spans="1:24" s="123" customFormat="1" ht="15.75">
      <c r="A23" s="289"/>
      <c r="B23" s="288"/>
      <c r="C23" s="77"/>
      <c r="D23" s="287"/>
      <c r="E23" s="287"/>
      <c r="F23" s="287"/>
      <c r="G23" s="287"/>
      <c r="H23" s="287"/>
      <c r="I23" s="287"/>
      <c r="J23" s="286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  <c r="V23" s="285"/>
      <c r="W23" s="285"/>
      <c r="X23" s="285"/>
    </row>
    <row r="24" spans="1:24" ht="15.75">
      <c r="A24" s="276" t="s">
        <v>417</v>
      </c>
      <c r="B24" s="275"/>
      <c r="C24" s="275"/>
      <c r="D24" s="275"/>
      <c r="E24" s="275"/>
      <c r="F24" s="275"/>
      <c r="G24" s="275"/>
      <c r="H24" s="275"/>
      <c r="I24" s="275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</row>
    <row r="25" spans="1:24" ht="15.75">
      <c r="A25" s="49"/>
      <c r="B25" s="50"/>
      <c r="C25" s="51"/>
      <c r="D25" s="129" t="s">
        <v>209</v>
      </c>
      <c r="E25" s="130"/>
      <c r="F25" s="131"/>
      <c r="G25" s="130" t="s">
        <v>210</v>
      </c>
      <c r="H25" s="130"/>
      <c r="I25" s="131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</row>
    <row r="26" spans="1:24" ht="15.75">
      <c r="A26" s="122" t="s">
        <v>75</v>
      </c>
      <c r="B26" s="122" t="s">
        <v>76</v>
      </c>
      <c r="C26" s="122" t="s">
        <v>77</v>
      </c>
      <c r="D26" s="31" t="s">
        <v>78</v>
      </c>
      <c r="E26" s="31" t="s">
        <v>79</v>
      </c>
      <c r="F26" s="31" t="s">
        <v>80</v>
      </c>
      <c r="G26" s="31" t="s">
        <v>78</v>
      </c>
      <c r="H26" s="31" t="s">
        <v>79</v>
      </c>
      <c r="I26" s="31" t="s">
        <v>80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</row>
    <row r="27" spans="1:24" ht="15.75">
      <c r="A27" s="69">
        <v>42920</v>
      </c>
      <c r="B27" s="34"/>
      <c r="C27" s="122">
        <v>1</v>
      </c>
      <c r="D27" s="31"/>
      <c r="E27" s="31"/>
      <c r="F27" s="31"/>
      <c r="G27" s="31"/>
      <c r="H27" s="31"/>
      <c r="I27" s="31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</row>
    <row r="28" spans="1:24" ht="15.75">
      <c r="A28" s="69"/>
      <c r="B28" s="15">
        <v>1131</v>
      </c>
      <c r="C28" s="11" t="s">
        <v>82</v>
      </c>
      <c r="D28" s="37"/>
      <c r="E28" s="37">
        <f>D29</f>
        <v>1412.9639999999999</v>
      </c>
      <c r="F28" s="37"/>
      <c r="G28" s="37"/>
      <c r="H28" s="37">
        <f>G29</f>
        <v>1412.9639999999999</v>
      </c>
      <c r="I28" s="37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</row>
    <row r="29" spans="1:24" ht="15.75">
      <c r="A29" s="122"/>
      <c r="B29" s="15">
        <v>113101</v>
      </c>
      <c r="C29" s="11" t="s">
        <v>243</v>
      </c>
      <c r="D29" s="37">
        <f>(80.1-(80.1*2%))*18</f>
        <v>1412.9639999999999</v>
      </c>
      <c r="E29" s="37"/>
      <c r="F29" s="37"/>
      <c r="G29" s="37">
        <f>D29</f>
        <v>1412.9639999999999</v>
      </c>
      <c r="H29" s="37"/>
      <c r="I29" s="37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1:24" ht="15.75">
      <c r="A30" s="122"/>
      <c r="B30" s="15">
        <v>112501</v>
      </c>
      <c r="C30" s="15" t="s">
        <v>81</v>
      </c>
      <c r="D30" s="37"/>
      <c r="E30" s="37">
        <f>E28*12%</f>
        <v>169.55568</v>
      </c>
      <c r="F30" s="37"/>
      <c r="G30" s="37"/>
      <c r="H30" s="37">
        <f>H28*12%</f>
        <v>169.55568</v>
      </c>
      <c r="I30" s="37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</row>
    <row r="31" spans="1:24" ht="15.75">
      <c r="A31" s="122"/>
      <c r="B31" s="15">
        <v>211202</v>
      </c>
      <c r="C31" s="15" t="s">
        <v>185</v>
      </c>
      <c r="D31" s="37"/>
      <c r="E31" s="37"/>
      <c r="F31" s="37">
        <f>E28+E30-F32</f>
        <v>1568.3900399999998</v>
      </c>
      <c r="G31" s="37"/>
      <c r="H31" s="37"/>
      <c r="I31" s="37">
        <f>H28+H30-I32</f>
        <v>1568.3900399999998</v>
      </c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</row>
    <row r="32" spans="1:24" ht="15.75">
      <c r="A32" s="122"/>
      <c r="B32" s="15">
        <v>211604</v>
      </c>
      <c r="C32" s="15" t="s">
        <v>229</v>
      </c>
      <c r="D32" s="37"/>
      <c r="E32" s="37"/>
      <c r="F32" s="37">
        <f>E28*1%</f>
        <v>14.12964</v>
      </c>
      <c r="G32" s="37"/>
      <c r="H32" s="37"/>
      <c r="I32" s="37">
        <f>H28*1%</f>
        <v>14.12964</v>
      </c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</row>
    <row r="33" spans="1:21" ht="45.75">
      <c r="A33" s="122"/>
      <c r="B33" s="34"/>
      <c r="C33" s="16" t="s">
        <v>244</v>
      </c>
      <c r="D33" s="37"/>
      <c r="E33" s="37"/>
      <c r="F33" s="37"/>
      <c r="G33" s="37"/>
      <c r="H33" s="37"/>
      <c r="I33" s="37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</row>
    <row r="34" spans="1:21" s="285" customFormat="1" ht="15.75">
      <c r="A34" s="75"/>
      <c r="B34" s="76"/>
      <c r="C34" s="77"/>
      <c r="D34" s="287"/>
      <c r="E34" s="287"/>
      <c r="F34" s="287"/>
      <c r="G34" s="287"/>
      <c r="H34" s="287"/>
      <c r="I34" s="287"/>
      <c r="J34" s="286"/>
    </row>
    <row r="35" spans="1:21" ht="15.75">
      <c r="A35" s="292" t="s">
        <v>416</v>
      </c>
      <c r="B35" s="292"/>
      <c r="C35" s="292"/>
      <c r="D35" s="292"/>
      <c r="E35" s="292"/>
      <c r="F35" s="292"/>
      <c r="G35" s="292"/>
      <c r="H35" s="292"/>
      <c r="I35" s="292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 ht="15.75">
      <c r="A36" s="284"/>
      <c r="B36" s="283"/>
      <c r="C36" s="282"/>
      <c r="D36" s="281" t="s">
        <v>209</v>
      </c>
      <c r="E36" s="280"/>
      <c r="F36" s="279"/>
      <c r="G36" s="280" t="s">
        <v>210</v>
      </c>
      <c r="H36" s="280"/>
      <c r="I36" s="279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 ht="15.75">
      <c r="A37" s="122" t="s">
        <v>75</v>
      </c>
      <c r="B37" s="122" t="s">
        <v>76</v>
      </c>
      <c r="C37" s="122" t="s">
        <v>77</v>
      </c>
      <c r="D37" s="31" t="s">
        <v>78</v>
      </c>
      <c r="E37" s="31" t="s">
        <v>79</v>
      </c>
      <c r="F37" s="31" t="s">
        <v>80</v>
      </c>
      <c r="G37" s="31" t="s">
        <v>78</v>
      </c>
      <c r="H37" s="31" t="s">
        <v>79</v>
      </c>
      <c r="I37" s="31" t="s">
        <v>80</v>
      </c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</row>
    <row r="38" spans="1:21" ht="15.75">
      <c r="A38" s="82">
        <v>42926</v>
      </c>
      <c r="B38" s="15"/>
      <c r="C38" s="122">
        <v>3</v>
      </c>
      <c r="D38" s="39"/>
      <c r="E38" s="39"/>
      <c r="F38" s="39"/>
      <c r="G38" s="39"/>
      <c r="H38" s="39"/>
      <c r="I38" s="39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</row>
    <row r="39" spans="1:21" ht="15.75">
      <c r="A39" s="38"/>
      <c r="B39" s="15">
        <v>1111</v>
      </c>
      <c r="C39" s="11" t="s">
        <v>158</v>
      </c>
      <c r="D39" s="39"/>
      <c r="E39" s="39">
        <f>F42+F44-E40-E41</f>
        <v>760.17204480000009</v>
      </c>
      <c r="F39" s="39"/>
      <c r="G39" s="39"/>
      <c r="H39" s="39">
        <f>I42+I44-H40-H41</f>
        <v>760.17204480000009</v>
      </c>
      <c r="I39" s="39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</row>
    <row r="40" spans="1:21" ht="15.75">
      <c r="A40" s="38"/>
      <c r="B40" s="15">
        <v>112503</v>
      </c>
      <c r="C40" s="11" t="s">
        <v>230</v>
      </c>
      <c r="D40" s="39"/>
      <c r="E40" s="39">
        <f>F44*30%</f>
        <v>25.480627199999997</v>
      </c>
      <c r="F40" s="39"/>
      <c r="G40" s="39"/>
      <c r="H40" s="39">
        <f>I44*30%</f>
        <v>25.480627199999997</v>
      </c>
      <c r="I40" s="39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</row>
    <row r="41" spans="1:21" ht="15.75">
      <c r="A41" s="38"/>
      <c r="B41" s="15">
        <v>112504</v>
      </c>
      <c r="C41" s="11" t="s">
        <v>231</v>
      </c>
      <c r="D41" s="39"/>
      <c r="E41" s="39">
        <f>F42*1%</f>
        <v>7.0779520000000007</v>
      </c>
      <c r="F41" s="39"/>
      <c r="G41" s="39"/>
      <c r="H41" s="39">
        <f>I42*1%</f>
        <v>7.0779520000000007</v>
      </c>
      <c r="I41" s="39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</row>
    <row r="42" spans="1:21" ht="15.75">
      <c r="A42" s="11"/>
      <c r="B42" s="15">
        <v>4111</v>
      </c>
      <c r="C42" s="15" t="s">
        <v>85</v>
      </c>
      <c r="D42" s="39"/>
      <c r="E42" s="39"/>
      <c r="F42" s="39">
        <f>SUM(D43:D43)</f>
        <v>707.79520000000002</v>
      </c>
      <c r="G42" s="39"/>
      <c r="H42" s="39"/>
      <c r="I42" s="39">
        <f>SUM(G43:G43)</f>
        <v>707.79520000000002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</row>
    <row r="43" spans="1:21" ht="15.75">
      <c r="A43" s="11"/>
      <c r="B43" s="15">
        <v>411101</v>
      </c>
      <c r="C43" s="11" t="s">
        <v>245</v>
      </c>
      <c r="D43" s="39">
        <f>(90.28-(90.28*2%))*8</f>
        <v>707.79520000000002</v>
      </c>
      <c r="E43" s="39"/>
      <c r="F43" s="39"/>
      <c r="G43" s="39">
        <f>(90.28-(90.28*2%))*8</f>
        <v>707.79520000000002</v>
      </c>
      <c r="H43" s="39"/>
      <c r="I43" s="39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</row>
    <row r="44" spans="1:21" ht="15.75">
      <c r="A44" s="11"/>
      <c r="B44" s="15">
        <v>211602</v>
      </c>
      <c r="C44" s="15" t="s">
        <v>86</v>
      </c>
      <c r="D44" s="39"/>
      <c r="E44" s="39"/>
      <c r="F44" s="39">
        <f>F42*12%</f>
        <v>84.935423999999998</v>
      </c>
      <c r="G44" s="39"/>
      <c r="H44" s="39"/>
      <c r="I44" s="39">
        <f>I42*12%</f>
        <v>84.935423999999998</v>
      </c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</row>
    <row r="45" spans="1:21" ht="30.75">
      <c r="A45" s="11"/>
      <c r="B45" s="15"/>
      <c r="C45" s="16" t="s">
        <v>246</v>
      </c>
      <c r="D45" s="39"/>
      <c r="E45" s="39"/>
      <c r="F45" s="39"/>
      <c r="G45" s="39"/>
      <c r="H45" s="39"/>
      <c r="I45" s="39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</row>
    <row r="46" spans="1:21" ht="15.75">
      <c r="A46" s="11"/>
      <c r="B46" s="15"/>
      <c r="C46" s="40" t="s">
        <v>212</v>
      </c>
      <c r="D46" s="39"/>
      <c r="E46" s="39"/>
      <c r="F46" s="39"/>
      <c r="G46" s="39"/>
      <c r="H46" s="39"/>
      <c r="I46" s="39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</row>
    <row r="47" spans="1:21" ht="15.75">
      <c r="A47" s="11"/>
      <c r="B47" s="15">
        <v>511101</v>
      </c>
      <c r="C47" s="11" t="s">
        <v>28</v>
      </c>
      <c r="D47" s="39"/>
      <c r="E47" s="39">
        <f>F48</f>
        <v>627.98399999999992</v>
      </c>
      <c r="F47" s="39"/>
      <c r="G47" s="39"/>
      <c r="H47" s="39">
        <f>I48</f>
        <v>627.98399999999992</v>
      </c>
      <c r="I47" s="39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</row>
    <row r="48" spans="1:21" ht="15.75">
      <c r="A48" s="11"/>
      <c r="B48" s="15">
        <v>1131</v>
      </c>
      <c r="C48" s="11" t="s">
        <v>91</v>
      </c>
      <c r="D48" s="39"/>
      <c r="E48" s="39"/>
      <c r="F48" s="39">
        <f>D49</f>
        <v>627.98399999999992</v>
      </c>
      <c r="G48" s="39"/>
      <c r="H48" s="39"/>
      <c r="I48" s="39">
        <f>G49</f>
        <v>627.98399999999992</v>
      </c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</row>
    <row r="49" spans="1:21" ht="15.75">
      <c r="A49" s="11"/>
      <c r="B49" s="15">
        <v>113101</v>
      </c>
      <c r="C49" s="11" t="s">
        <v>245</v>
      </c>
      <c r="D49" s="12">
        <f>KARDEX!I9</f>
        <v>627.98399999999992</v>
      </c>
      <c r="E49" s="39"/>
      <c r="F49" s="39"/>
      <c r="G49" s="12">
        <f>KARDEX!I21</f>
        <v>627.98399999999992</v>
      </c>
      <c r="H49" s="39"/>
      <c r="I49" s="39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</row>
    <row r="50" spans="1:21" ht="15.75">
      <c r="A50" s="11"/>
      <c r="B50" s="15"/>
      <c r="C50" s="11" t="s">
        <v>87</v>
      </c>
      <c r="D50" s="39"/>
      <c r="E50" s="39"/>
      <c r="F50" s="39"/>
      <c r="G50" s="39"/>
      <c r="H50" s="39"/>
      <c r="I50" s="39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</row>
    <row r="51" spans="1:21" ht="15.75">
      <c r="A51" s="293"/>
      <c r="B51" s="288"/>
      <c r="C51" s="294"/>
      <c r="D51" s="295"/>
      <c r="E51" s="295"/>
      <c r="F51" s="295"/>
      <c r="G51" s="295"/>
      <c r="H51" s="295"/>
      <c r="I51" s="295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</row>
    <row r="52" spans="1:21" ht="15.75">
      <c r="A52" s="296" t="s">
        <v>415</v>
      </c>
      <c r="B52" s="292"/>
      <c r="C52" s="292"/>
      <c r="D52" s="292"/>
      <c r="E52" s="292"/>
      <c r="F52" s="292"/>
      <c r="G52" s="292"/>
      <c r="H52" s="292"/>
      <c r="I52" s="292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</row>
    <row r="53" spans="1:21" ht="15.75">
      <c r="A53" s="49"/>
      <c r="B53" s="50"/>
      <c r="C53" s="51"/>
      <c r="D53" s="129" t="s">
        <v>209</v>
      </c>
      <c r="E53" s="130"/>
      <c r="F53" s="131"/>
      <c r="G53" s="130" t="s">
        <v>210</v>
      </c>
      <c r="H53" s="130"/>
      <c r="I53" s="131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</row>
    <row r="54" spans="1:21" ht="15.75">
      <c r="A54" s="122" t="s">
        <v>75</v>
      </c>
      <c r="B54" s="34" t="s">
        <v>76</v>
      </c>
      <c r="C54" s="122" t="s">
        <v>77</v>
      </c>
      <c r="D54" s="31" t="s">
        <v>78</v>
      </c>
      <c r="E54" s="31" t="s">
        <v>79</v>
      </c>
      <c r="F54" s="31" t="s">
        <v>80</v>
      </c>
      <c r="G54" s="31" t="s">
        <v>78</v>
      </c>
      <c r="H54" s="31" t="s">
        <v>79</v>
      </c>
      <c r="I54" s="31" t="s">
        <v>80</v>
      </c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</row>
    <row r="55" spans="1:21" ht="15.75">
      <c r="A55" s="82">
        <v>42932</v>
      </c>
      <c r="B55" s="15"/>
      <c r="C55" s="122">
        <v>6</v>
      </c>
      <c r="D55" s="39"/>
      <c r="E55" s="39"/>
      <c r="F55" s="39"/>
      <c r="G55" s="39"/>
      <c r="H55" s="39"/>
      <c r="I55" s="39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</row>
    <row r="56" spans="1:21" ht="15.75">
      <c r="A56" s="38"/>
      <c r="B56" s="15">
        <v>4111</v>
      </c>
      <c r="C56" s="11" t="s">
        <v>88</v>
      </c>
      <c r="D56" s="39"/>
      <c r="E56" s="39">
        <f>D57</f>
        <v>90.28</v>
      </c>
      <c r="F56" s="39"/>
      <c r="G56" s="39"/>
      <c r="H56" s="39">
        <f>G57</f>
        <v>90.28</v>
      </c>
      <c r="I56" s="39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</row>
    <row r="57" spans="1:21" ht="15.75">
      <c r="A57" s="38"/>
      <c r="B57" s="15">
        <v>411102</v>
      </c>
      <c r="C57" s="11" t="s">
        <v>243</v>
      </c>
      <c r="D57" s="39">
        <f>90.28*1</f>
        <v>90.28</v>
      </c>
      <c r="E57" s="39"/>
      <c r="F57" s="39"/>
      <c r="G57" s="39">
        <f>90.28*1</f>
        <v>90.28</v>
      </c>
      <c r="H57" s="39"/>
      <c r="I57" s="39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</row>
    <row r="58" spans="1:21" ht="15.75">
      <c r="A58" s="38"/>
      <c r="B58" s="15">
        <v>211602</v>
      </c>
      <c r="C58" s="15" t="s">
        <v>89</v>
      </c>
      <c r="D58" s="39"/>
      <c r="E58" s="39">
        <f>E56*12%</f>
        <v>10.833600000000001</v>
      </c>
      <c r="F58" s="39"/>
      <c r="G58" s="39"/>
      <c r="H58" s="39">
        <f>H56*12%</f>
        <v>10.833600000000001</v>
      </c>
      <c r="I58" s="39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</row>
    <row r="59" spans="1:21" ht="15.75">
      <c r="A59" s="11"/>
      <c r="B59" s="15">
        <v>1111</v>
      </c>
      <c r="C59" s="15" t="s">
        <v>203</v>
      </c>
      <c r="D59" s="39"/>
      <c r="E59" s="39"/>
      <c r="F59" s="39">
        <f>E56+E58</f>
        <v>101.11360000000001</v>
      </c>
      <c r="G59" s="39"/>
      <c r="H59" s="39"/>
      <c r="I59" s="39">
        <f>H56+H58</f>
        <v>101.11360000000001</v>
      </c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</row>
    <row r="60" spans="1:21" ht="30.75">
      <c r="A60" s="11"/>
      <c r="B60" s="15"/>
      <c r="C60" s="16" t="s">
        <v>204</v>
      </c>
      <c r="D60" s="39"/>
      <c r="E60" s="39"/>
      <c r="F60" s="39"/>
      <c r="G60" s="39"/>
      <c r="H60" s="39"/>
      <c r="I60" s="39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</row>
    <row r="61" spans="1:21" ht="15.75">
      <c r="A61" s="11"/>
      <c r="B61" s="15"/>
      <c r="C61" s="40" t="s">
        <v>214</v>
      </c>
      <c r="D61" s="39"/>
      <c r="E61" s="39"/>
      <c r="F61" s="39"/>
      <c r="G61" s="39"/>
      <c r="H61" s="39"/>
      <c r="I61" s="39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</row>
    <row r="62" spans="1:21" ht="15.75">
      <c r="A62" s="11"/>
      <c r="B62" s="15">
        <v>1131</v>
      </c>
      <c r="C62" s="11" t="s">
        <v>82</v>
      </c>
      <c r="D62" s="39"/>
      <c r="E62" s="39">
        <f>D63</f>
        <v>79.538799999999995</v>
      </c>
      <c r="F62" s="39"/>
      <c r="G62" s="39"/>
      <c r="H62" s="39">
        <f>G63</f>
        <v>78.49799999999999</v>
      </c>
      <c r="I62" s="39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</row>
    <row r="63" spans="1:21" ht="15.75">
      <c r="A63" s="11"/>
      <c r="B63" s="15">
        <v>113102</v>
      </c>
      <c r="C63" s="11" t="s">
        <v>243</v>
      </c>
      <c r="D63" s="39">
        <f>KARDEX!I12</f>
        <v>79.538799999999995</v>
      </c>
      <c r="E63" s="39"/>
      <c r="F63" s="39"/>
      <c r="G63" s="39">
        <f>KARDEX!I26</f>
        <v>78.49799999999999</v>
      </c>
      <c r="H63" s="39"/>
      <c r="I63" s="39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</row>
    <row r="64" spans="1:21" ht="15.75">
      <c r="A64" s="11"/>
      <c r="B64" s="15">
        <v>511101</v>
      </c>
      <c r="C64" s="11" t="s">
        <v>90</v>
      </c>
      <c r="D64" s="39"/>
      <c r="E64" s="39"/>
      <c r="F64" s="39">
        <f>E62</f>
        <v>79.538799999999995</v>
      </c>
      <c r="G64" s="39"/>
      <c r="H64" s="39"/>
      <c r="I64" s="39">
        <f>H62</f>
        <v>78.49799999999999</v>
      </c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</row>
    <row r="65" spans="1:21" ht="30.75">
      <c r="A65" s="278"/>
      <c r="B65" s="277"/>
      <c r="C65" s="16" t="s">
        <v>211</v>
      </c>
      <c r="D65" s="39"/>
      <c r="E65" s="39"/>
      <c r="F65" s="39"/>
      <c r="G65" s="39"/>
      <c r="H65" s="39"/>
      <c r="I65" s="39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</row>
    <row r="66" spans="1:21" ht="15.75">
      <c r="A66" s="297"/>
      <c r="B66" s="298"/>
      <c r="C66" s="77"/>
      <c r="D66" s="295"/>
      <c r="E66" s="295"/>
      <c r="F66" s="295"/>
      <c r="G66" s="295"/>
      <c r="H66" s="295"/>
      <c r="I66" s="295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</row>
    <row r="67" spans="1:21" ht="15.75">
      <c r="A67" s="296" t="s">
        <v>84</v>
      </c>
      <c r="B67" s="292"/>
      <c r="C67" s="292"/>
      <c r="D67" s="292"/>
      <c r="E67" s="292"/>
      <c r="F67" s="292"/>
      <c r="G67" s="292"/>
      <c r="H67" s="292"/>
      <c r="I67" s="292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</row>
    <row r="68" spans="1:21" ht="15.75">
      <c r="A68" s="49"/>
      <c r="B68" s="50"/>
      <c r="C68" s="51"/>
      <c r="D68" s="129" t="s">
        <v>209</v>
      </c>
      <c r="E68" s="130"/>
      <c r="F68" s="131"/>
      <c r="G68" s="130" t="s">
        <v>210</v>
      </c>
      <c r="H68" s="130"/>
      <c r="I68" s="131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</row>
    <row r="69" spans="1:21" ht="15.75">
      <c r="A69" s="122" t="s">
        <v>75</v>
      </c>
      <c r="B69" s="34" t="s">
        <v>76</v>
      </c>
      <c r="C69" s="122" t="s">
        <v>77</v>
      </c>
      <c r="D69" s="31" t="s">
        <v>78</v>
      </c>
      <c r="E69" s="31" t="s">
        <v>79</v>
      </c>
      <c r="F69" s="31" t="s">
        <v>80</v>
      </c>
      <c r="G69" s="31" t="s">
        <v>78</v>
      </c>
      <c r="H69" s="31" t="s">
        <v>79</v>
      </c>
      <c r="I69" s="31" t="s">
        <v>80</v>
      </c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</row>
    <row r="70" spans="1:21" ht="15.75">
      <c r="A70" s="82">
        <v>42931</v>
      </c>
      <c r="B70" s="15"/>
      <c r="C70" s="122">
        <v>5</v>
      </c>
      <c r="D70" s="39"/>
      <c r="E70" s="39"/>
      <c r="F70" s="39"/>
      <c r="G70" s="39"/>
      <c r="H70" s="39"/>
      <c r="I70" s="39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</row>
    <row r="71" spans="1:21" ht="15.75">
      <c r="A71" s="11"/>
      <c r="B71" s="15">
        <v>1111</v>
      </c>
      <c r="C71" s="11" t="s">
        <v>158</v>
      </c>
      <c r="D71" s="39"/>
      <c r="E71" s="39">
        <f>F72+F74</f>
        <v>404.45440000000002</v>
      </c>
      <c r="F71" s="39"/>
      <c r="G71" s="39"/>
      <c r="H71" s="39">
        <f>I72+I74</f>
        <v>404.45440000000002</v>
      </c>
      <c r="I71" s="39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</row>
    <row r="72" spans="1:21" ht="15.75">
      <c r="A72" s="11"/>
      <c r="B72" s="15">
        <v>4111</v>
      </c>
      <c r="C72" s="15" t="s">
        <v>85</v>
      </c>
      <c r="D72" s="39"/>
      <c r="E72" s="39"/>
      <c r="F72" s="39">
        <f>D73</f>
        <v>361.12</v>
      </c>
      <c r="G72" s="39"/>
      <c r="H72" s="39"/>
      <c r="I72" s="39">
        <f>G73</f>
        <v>361.12</v>
      </c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</row>
    <row r="73" spans="1:21" ht="15.75">
      <c r="A73" s="11"/>
      <c r="B73" s="15">
        <v>411101</v>
      </c>
      <c r="C73" s="11" t="s">
        <v>245</v>
      </c>
      <c r="D73" s="39">
        <f>90.28*4</f>
        <v>361.12</v>
      </c>
      <c r="E73" s="39"/>
      <c r="F73" s="39"/>
      <c r="G73" s="39">
        <f>90.28*4</f>
        <v>361.12</v>
      </c>
      <c r="H73" s="39"/>
      <c r="I73" s="39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</row>
    <row r="74" spans="1:21" ht="15.75">
      <c r="A74" s="11"/>
      <c r="B74" s="15">
        <v>211602</v>
      </c>
      <c r="C74" s="15" t="s">
        <v>86</v>
      </c>
      <c r="D74" s="39"/>
      <c r="E74" s="39"/>
      <c r="F74" s="39">
        <f>F72*12%</f>
        <v>43.334400000000002</v>
      </c>
      <c r="G74" s="39"/>
      <c r="H74" s="39"/>
      <c r="I74" s="39">
        <f>I72*12%</f>
        <v>43.334400000000002</v>
      </c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</row>
    <row r="75" spans="1:21" ht="30.75">
      <c r="A75" s="11"/>
      <c r="B75" s="15"/>
      <c r="C75" s="16" t="s">
        <v>248</v>
      </c>
      <c r="D75" s="39"/>
      <c r="E75" s="39"/>
      <c r="F75" s="39"/>
      <c r="G75" s="39"/>
      <c r="H75" s="39"/>
      <c r="I75" s="39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</row>
    <row r="76" spans="1:21" ht="15.75">
      <c r="A76" s="11"/>
      <c r="B76" s="15"/>
      <c r="C76" s="40" t="s">
        <v>213</v>
      </c>
      <c r="D76" s="39"/>
      <c r="E76" s="39"/>
      <c r="F76" s="39"/>
      <c r="G76" s="39"/>
      <c r="H76" s="39"/>
      <c r="I76" s="39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</row>
    <row r="77" spans="1:21" ht="15.75">
      <c r="A77" s="11"/>
      <c r="B77" s="15">
        <v>511101</v>
      </c>
      <c r="C77" s="11" t="s">
        <v>28</v>
      </c>
      <c r="D77" s="39"/>
      <c r="E77" s="39">
        <f>F78</f>
        <v>318.15519999999998</v>
      </c>
      <c r="F77" s="39"/>
      <c r="G77" s="39"/>
      <c r="H77" s="39">
        <f>I78</f>
        <v>313.99199999999996</v>
      </c>
      <c r="I77" s="39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</row>
    <row r="78" spans="1:21" ht="15.75">
      <c r="A78" s="11"/>
      <c r="B78" s="15">
        <v>1131</v>
      </c>
      <c r="C78" s="11" t="s">
        <v>91</v>
      </c>
      <c r="D78" s="39"/>
      <c r="E78" s="39"/>
      <c r="F78" s="39">
        <f>D79</f>
        <v>318.15519999999998</v>
      </c>
      <c r="G78" s="39"/>
      <c r="H78" s="39"/>
      <c r="I78" s="39">
        <f>G79</f>
        <v>313.99199999999996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</row>
    <row r="79" spans="1:21" ht="15.75">
      <c r="A79" s="11"/>
      <c r="B79" s="15">
        <v>113101</v>
      </c>
      <c r="C79" s="11" t="s">
        <v>245</v>
      </c>
      <c r="D79" s="39">
        <f>KARDEX!I11</f>
        <v>318.15519999999998</v>
      </c>
      <c r="E79" s="39"/>
      <c r="F79" s="39"/>
      <c r="G79" s="39">
        <f>KARDEX!I24</f>
        <v>313.99199999999996</v>
      </c>
      <c r="H79" s="39"/>
      <c r="I79" s="39"/>
      <c r="J79" s="13"/>
      <c r="K79" s="13"/>
    </row>
    <row r="80" spans="1:21" ht="15.75">
      <c r="A80" s="11"/>
      <c r="B80" s="15"/>
      <c r="C80" s="11" t="s">
        <v>87</v>
      </c>
      <c r="D80" s="39"/>
      <c r="E80" s="39"/>
      <c r="F80" s="39"/>
      <c r="G80" s="39"/>
      <c r="H80" s="39"/>
      <c r="I80" s="39"/>
    </row>
    <row r="84" spans="1:21">
      <c r="A84" s="126" t="s">
        <v>414</v>
      </c>
      <c r="B84" s="127"/>
      <c r="C84" s="127"/>
      <c r="D84" s="127"/>
      <c r="E84" s="127"/>
      <c r="F84" s="128"/>
    </row>
    <row r="85" spans="1:21" ht="15.75">
      <c r="A85" s="122" t="s">
        <v>75</v>
      </c>
      <c r="B85" s="122" t="s">
        <v>76</v>
      </c>
      <c r="C85" s="122" t="s">
        <v>77</v>
      </c>
      <c r="D85" s="31" t="s">
        <v>78</v>
      </c>
      <c r="E85" s="31" t="s">
        <v>79</v>
      </c>
      <c r="F85" s="31" t="s">
        <v>80</v>
      </c>
      <c r="G85" s="13"/>
      <c r="H85" s="13"/>
      <c r="I85" s="13"/>
      <c r="J85" s="13"/>
    </row>
    <row r="86" spans="1:21" ht="15.75">
      <c r="A86" s="82">
        <v>42933</v>
      </c>
      <c r="B86" s="15"/>
      <c r="C86" s="122">
        <v>7</v>
      </c>
      <c r="D86" s="39"/>
      <c r="E86" s="39"/>
      <c r="F86" s="39"/>
      <c r="G86" s="13"/>
      <c r="H86" s="13"/>
      <c r="I86" s="13"/>
      <c r="J86" s="13"/>
    </row>
    <row r="87" spans="1:21" ht="15.75">
      <c r="A87" s="38"/>
      <c r="B87" s="15">
        <v>1111</v>
      </c>
      <c r="C87" s="11" t="s">
        <v>158</v>
      </c>
      <c r="D87" s="39"/>
      <c r="E87" s="39">
        <f>F88+F90</f>
        <v>17.236800000000002</v>
      </c>
      <c r="F87" s="39"/>
      <c r="G87" s="13"/>
      <c r="H87" s="13"/>
      <c r="I87" s="13"/>
      <c r="J87" s="13"/>
    </row>
    <row r="88" spans="1:21" ht="15.75">
      <c r="A88" s="11"/>
      <c r="B88" s="15">
        <v>4111</v>
      </c>
      <c r="C88" s="15" t="s">
        <v>249</v>
      </c>
      <c r="D88" s="39"/>
      <c r="E88" s="39"/>
      <c r="F88" s="39">
        <f>SUM(D89:D89)</f>
        <v>15.39</v>
      </c>
      <c r="G88" s="13"/>
      <c r="H88" s="13"/>
      <c r="I88" s="13"/>
      <c r="J88" s="13"/>
    </row>
    <row r="89" spans="1:21" ht="15.75">
      <c r="A89" s="11"/>
      <c r="B89" s="15">
        <v>411110</v>
      </c>
      <c r="C89" s="11" t="s">
        <v>251</v>
      </c>
      <c r="D89" s="39">
        <v>15.39</v>
      </c>
      <c r="E89" s="39"/>
      <c r="F89" s="39"/>
      <c r="G89" s="13"/>
      <c r="H89" s="13"/>
      <c r="I89" s="13"/>
      <c r="J89" s="13"/>
    </row>
    <row r="90" spans="1:21" ht="15.75">
      <c r="A90" s="11"/>
      <c r="B90" s="15">
        <v>211602</v>
      </c>
      <c r="C90" s="15" t="s">
        <v>86</v>
      </c>
      <c r="D90" s="39"/>
      <c r="E90" s="39"/>
      <c r="F90" s="39">
        <f>F88*12%</f>
        <v>1.8468</v>
      </c>
      <c r="G90" s="13"/>
      <c r="H90" s="13"/>
      <c r="I90" s="13"/>
      <c r="J90" s="13"/>
    </row>
    <row r="91" spans="1:21" ht="30.75">
      <c r="A91" s="11"/>
      <c r="B91" s="15"/>
      <c r="C91" s="16" t="s">
        <v>250</v>
      </c>
      <c r="D91" s="39"/>
      <c r="E91" s="39"/>
      <c r="F91" s="39"/>
      <c r="G91" s="13"/>
      <c r="H91" s="13"/>
      <c r="I91" s="13"/>
      <c r="J91" s="13"/>
    </row>
    <row r="92" spans="1:21">
      <c r="B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</row>
    <row r="93" spans="1:21">
      <c r="B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</row>
    <row r="94" spans="1:21">
      <c r="B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</row>
    <row r="95" spans="1:21">
      <c r="B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</row>
    <row r="96" spans="1:21">
      <c r="B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</row>
    <row r="97" spans="2:21">
      <c r="B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</row>
    <row r="98" spans="2:21">
      <c r="G98" s="13"/>
      <c r="H98" s="13"/>
      <c r="I98" s="13"/>
      <c r="J98" s="13"/>
    </row>
    <row r="99" spans="2:21">
      <c r="G99" s="13"/>
      <c r="H99" s="13"/>
      <c r="I99" s="13"/>
      <c r="J99" s="13"/>
    </row>
    <row r="100" spans="2:21">
      <c r="G100" s="13"/>
      <c r="H100" s="13"/>
      <c r="I100" s="13"/>
      <c r="J100" s="13"/>
    </row>
    <row r="101" spans="2:21">
      <c r="G101" s="13"/>
      <c r="H101" s="13"/>
      <c r="I101" s="13"/>
      <c r="J101" s="13"/>
    </row>
    <row r="102" spans="2:21">
      <c r="G102" s="13"/>
      <c r="H102" s="13"/>
      <c r="I102" s="13"/>
      <c r="J102" s="13"/>
    </row>
    <row r="103" spans="2:21">
      <c r="G103" s="13"/>
      <c r="H103" s="13"/>
      <c r="I103" s="13"/>
      <c r="J103" s="13"/>
    </row>
    <row r="104" spans="2:21">
      <c r="G104" s="13"/>
      <c r="H104" s="13"/>
      <c r="I104" s="13"/>
      <c r="J104" s="13"/>
    </row>
  </sheetData>
  <mergeCells count="21">
    <mergeCell ref="D53:F53"/>
    <mergeCell ref="G53:I53"/>
    <mergeCell ref="D68:F68"/>
    <mergeCell ref="G68:I68"/>
    <mergeCell ref="G4:I4"/>
    <mergeCell ref="D15:F15"/>
    <mergeCell ref="G15:I15"/>
    <mergeCell ref="D25:F25"/>
    <mergeCell ref="G25:I25"/>
    <mergeCell ref="D36:F36"/>
    <mergeCell ref="G36:I36"/>
    <mergeCell ref="A84:F84"/>
    <mergeCell ref="A1:I1"/>
    <mergeCell ref="A3:I3"/>
    <mergeCell ref="A14:I14"/>
    <mergeCell ref="A24:I24"/>
    <mergeCell ref="A35:I35"/>
    <mergeCell ref="A52:I52"/>
    <mergeCell ref="A67:I67"/>
    <mergeCell ref="A2:XFD2"/>
    <mergeCell ref="D4:F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2C020-9192-4246-B13A-3FB7E597D1F0}">
  <dimension ref="B1:AA27"/>
  <sheetViews>
    <sheetView zoomScale="80" zoomScaleNormal="80" workbookViewId="0">
      <selection activeCell="P8" sqref="P8"/>
    </sheetView>
  </sheetViews>
  <sheetFormatPr baseColWidth="10" defaultRowHeight="15"/>
  <cols>
    <col min="1" max="1" width="11.42578125" style="17"/>
    <col min="2" max="2" width="12.28515625" style="17" customWidth="1"/>
    <col min="3" max="3" width="30.5703125" style="17" bestFit="1" customWidth="1"/>
    <col min="4" max="4" width="11.5703125" style="17" bestFit="1" customWidth="1"/>
    <col min="5" max="5" width="13.42578125" style="17" bestFit="1" customWidth="1"/>
    <col min="6" max="6" width="12.5703125" style="17" bestFit="1" customWidth="1"/>
    <col min="7" max="7" width="11.5703125" style="17" bestFit="1" customWidth="1"/>
    <col min="8" max="8" width="13.42578125" style="17" bestFit="1" customWidth="1"/>
    <col min="9" max="9" width="12.5703125" style="17" bestFit="1" customWidth="1"/>
    <col min="10" max="10" width="11.5703125" style="17" bestFit="1" customWidth="1"/>
    <col min="11" max="11" width="13.42578125" style="17" bestFit="1" customWidth="1"/>
    <col min="12" max="12" width="12.5703125" style="17" bestFit="1" customWidth="1"/>
    <col min="13" max="15" width="12.5703125" style="81" customWidth="1"/>
    <col min="16" max="16" width="11.42578125" style="17"/>
    <col min="17" max="17" width="14" style="17" bestFit="1" customWidth="1"/>
    <col min="18" max="18" width="30.5703125" style="17" bestFit="1" customWidth="1"/>
    <col min="19" max="19" width="11.5703125" style="17" bestFit="1" customWidth="1"/>
    <col min="20" max="20" width="13.42578125" style="17" bestFit="1" customWidth="1"/>
    <col min="21" max="21" width="12.5703125" style="17" bestFit="1" customWidth="1"/>
    <col min="22" max="22" width="11.5703125" style="17" bestFit="1" customWidth="1"/>
    <col min="23" max="23" width="13.42578125" style="17" bestFit="1" customWidth="1"/>
    <col min="24" max="24" width="12.5703125" style="17" bestFit="1" customWidth="1"/>
    <col min="25" max="25" width="11.5703125" style="17" bestFit="1" customWidth="1"/>
    <col min="26" max="26" width="13.42578125" style="17" bestFit="1" customWidth="1"/>
    <col min="27" max="27" width="12.5703125" style="17" bestFit="1" customWidth="1"/>
    <col min="28" max="16384" width="11.42578125" style="17"/>
  </cols>
  <sheetData>
    <row r="1" spans="2:27" s="17" customFormat="1" ht="15.75">
      <c r="M1" s="81"/>
      <c r="N1" s="81"/>
      <c r="O1" s="81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2:27" s="17" customFormat="1" ht="21" customHeight="1">
      <c r="B2" s="132" t="s">
        <v>69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13"/>
      <c r="N2" s="113"/>
      <c r="O2" s="1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2:27" s="17" customFormat="1" ht="21" customHeight="1">
      <c r="B3" s="132" t="s">
        <v>187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13"/>
      <c r="N3" s="113"/>
      <c r="O3" s="1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2:27" s="17" customFormat="1" ht="15.75">
      <c r="B4" s="41" t="s">
        <v>188</v>
      </c>
      <c r="C4" s="41" t="s">
        <v>243</v>
      </c>
      <c r="D4" s="121" t="s">
        <v>189</v>
      </c>
      <c r="E4" s="135" t="s">
        <v>190</v>
      </c>
      <c r="F4" s="135"/>
      <c r="G4" s="121" t="s">
        <v>191</v>
      </c>
      <c r="H4" s="135">
        <v>113101</v>
      </c>
      <c r="I4" s="135"/>
      <c r="J4" s="121" t="s">
        <v>192</v>
      </c>
      <c r="K4" s="135" t="s">
        <v>193</v>
      </c>
      <c r="L4" s="135"/>
      <c r="M4" s="80"/>
      <c r="N4" s="80"/>
      <c r="O4" s="80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2:27" s="17" customFormat="1" ht="15.75">
      <c r="B5" s="132" t="s">
        <v>194</v>
      </c>
      <c r="C5" s="132" t="s">
        <v>195</v>
      </c>
      <c r="D5" s="135" t="s">
        <v>196</v>
      </c>
      <c r="E5" s="135"/>
      <c r="F5" s="135"/>
      <c r="G5" s="135" t="s">
        <v>197</v>
      </c>
      <c r="H5" s="135"/>
      <c r="I5" s="135"/>
      <c r="J5" s="135" t="s">
        <v>198</v>
      </c>
      <c r="K5" s="135"/>
      <c r="L5" s="135"/>
      <c r="M5" s="80"/>
      <c r="N5" s="80"/>
      <c r="O5" s="80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2:27" s="17" customFormat="1" ht="15.75">
      <c r="B6" s="132"/>
      <c r="C6" s="132"/>
      <c r="D6" s="121" t="s">
        <v>199</v>
      </c>
      <c r="E6" s="121" t="s">
        <v>200</v>
      </c>
      <c r="F6" s="121" t="s">
        <v>201</v>
      </c>
      <c r="G6" s="121" t="s">
        <v>199</v>
      </c>
      <c r="H6" s="121" t="s">
        <v>200</v>
      </c>
      <c r="I6" s="121" t="s">
        <v>201</v>
      </c>
      <c r="J6" s="121" t="s">
        <v>199</v>
      </c>
      <c r="K6" s="121" t="s">
        <v>200</v>
      </c>
      <c r="L6" s="121" t="s">
        <v>201</v>
      </c>
      <c r="M6" s="80"/>
      <c r="N6" s="80"/>
      <c r="O6" s="80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2:27" s="17" customFormat="1" ht="15.75">
      <c r="B7" s="43">
        <v>42920</v>
      </c>
      <c r="C7" s="44" t="s">
        <v>205</v>
      </c>
      <c r="D7" s="45">
        <v>18</v>
      </c>
      <c r="E7" s="46">
        <f>80.1-(80.1*2%)</f>
        <v>78.49799999999999</v>
      </c>
      <c r="F7" s="46">
        <f>D7*E7</f>
        <v>1412.9639999999999</v>
      </c>
      <c r="G7" s="45"/>
      <c r="H7" s="46"/>
      <c r="I7" s="46"/>
      <c r="J7" s="45">
        <f>D7</f>
        <v>18</v>
      </c>
      <c r="K7" s="46">
        <f>E7</f>
        <v>78.49799999999999</v>
      </c>
      <c r="L7" s="46">
        <f>J7*K7</f>
        <v>1412.9639999999999</v>
      </c>
      <c r="M7" s="114"/>
      <c r="N7" s="114"/>
      <c r="O7" s="114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2:27" s="17" customFormat="1" ht="15.75">
      <c r="B8" s="43">
        <v>42924</v>
      </c>
      <c r="C8" s="44" t="s">
        <v>234</v>
      </c>
      <c r="D8" s="47">
        <v>1</v>
      </c>
      <c r="E8" s="48">
        <f>E7</f>
        <v>78.49799999999999</v>
      </c>
      <c r="F8" s="48">
        <f>D8*E8</f>
        <v>78.49799999999999</v>
      </c>
      <c r="G8" s="45"/>
      <c r="H8" s="46"/>
      <c r="I8" s="46"/>
      <c r="J8" s="45">
        <f>J7-D8</f>
        <v>17</v>
      </c>
      <c r="K8" s="46">
        <f>L8/J8</f>
        <v>78.49799999999999</v>
      </c>
      <c r="L8" s="46">
        <f>L7-F8</f>
        <v>1334.4659999999999</v>
      </c>
      <c r="M8" s="114"/>
      <c r="N8" s="114"/>
      <c r="O8" s="114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2:27" s="17" customFormat="1" ht="15.75">
      <c r="B9" s="43">
        <v>42926</v>
      </c>
      <c r="C9" s="44" t="s">
        <v>206</v>
      </c>
      <c r="D9" s="45"/>
      <c r="E9" s="46"/>
      <c r="F9" s="46"/>
      <c r="G9" s="45">
        <v>8</v>
      </c>
      <c r="H9" s="46">
        <f>K8</f>
        <v>78.49799999999999</v>
      </c>
      <c r="I9" s="46">
        <f>G9*H9</f>
        <v>627.98399999999992</v>
      </c>
      <c r="J9" s="45">
        <f>J8-G9</f>
        <v>9</v>
      </c>
      <c r="K9" s="46">
        <f>L9/J9</f>
        <v>78.49799999999999</v>
      </c>
      <c r="L9" s="46">
        <f>L8-I9</f>
        <v>706.48199999999997</v>
      </c>
      <c r="M9" s="114"/>
      <c r="N9" s="114"/>
      <c r="O9" s="114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2:27" s="17" customFormat="1" ht="15.75">
      <c r="B10" s="43">
        <v>42929</v>
      </c>
      <c r="C10" s="44" t="s">
        <v>207</v>
      </c>
      <c r="D10" s="45">
        <v>6</v>
      </c>
      <c r="E10" s="46">
        <v>81.099999999999994</v>
      </c>
      <c r="F10" s="46">
        <f>D10*E10</f>
        <v>486.59999999999997</v>
      </c>
      <c r="G10" s="45"/>
      <c r="H10" s="46"/>
      <c r="I10" s="46"/>
      <c r="J10" s="45">
        <f>J9+D10</f>
        <v>15</v>
      </c>
      <c r="K10" s="46">
        <f>L10/J10</f>
        <v>79.538799999999995</v>
      </c>
      <c r="L10" s="46">
        <f>L9+F10</f>
        <v>1193.0819999999999</v>
      </c>
      <c r="M10" s="114"/>
      <c r="N10" s="114"/>
      <c r="O10" s="114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2:27" s="17" customFormat="1" ht="15.75">
      <c r="B11" s="43">
        <v>42931</v>
      </c>
      <c r="C11" s="44" t="s">
        <v>208</v>
      </c>
      <c r="D11" s="45"/>
      <c r="E11" s="46"/>
      <c r="F11" s="46"/>
      <c r="G11" s="45">
        <v>4</v>
      </c>
      <c r="H11" s="46">
        <f>K10</f>
        <v>79.538799999999995</v>
      </c>
      <c r="I11" s="46">
        <f>G11*H11</f>
        <v>318.15519999999998</v>
      </c>
      <c r="J11" s="45">
        <f>J10-G11</f>
        <v>11</v>
      </c>
      <c r="K11" s="46">
        <f>L11/J11</f>
        <v>79.538799999999995</v>
      </c>
      <c r="L11" s="46">
        <f>L10-I11</f>
        <v>874.92679999999996</v>
      </c>
      <c r="M11" s="114"/>
      <c r="N11" s="114"/>
      <c r="O11" s="114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2:27" s="17" customFormat="1" ht="15.75">
      <c r="B12" s="43">
        <v>42932</v>
      </c>
      <c r="C12" s="44" t="s">
        <v>235</v>
      </c>
      <c r="D12" s="45"/>
      <c r="E12" s="46"/>
      <c r="F12" s="46"/>
      <c r="G12" s="47">
        <v>1</v>
      </c>
      <c r="H12" s="48">
        <f>H11</f>
        <v>79.538799999999995</v>
      </c>
      <c r="I12" s="48">
        <f>G12*H12</f>
        <v>79.538799999999995</v>
      </c>
      <c r="J12" s="45">
        <f>J11+G12</f>
        <v>12</v>
      </c>
      <c r="K12" s="46">
        <f>L12/J12</f>
        <v>79.538799999999995</v>
      </c>
      <c r="L12" s="46">
        <f>L11+I12</f>
        <v>954.46559999999999</v>
      </c>
      <c r="M12" s="114"/>
      <c r="N12" s="114"/>
      <c r="O12" s="114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2:27" s="17" customFormat="1" ht="15.75">
      <c r="M13" s="81"/>
      <c r="N13" s="81"/>
      <c r="O13" s="81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2:27" s="17" customFormat="1" ht="20.25" customHeight="1">
      <c r="B14" s="132" t="s">
        <v>69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13"/>
      <c r="N14" s="113"/>
      <c r="O14" s="1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2:27" s="17" customFormat="1" ht="20.25" customHeight="1">
      <c r="B15" s="132" t="s">
        <v>187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13"/>
      <c r="N15" s="113"/>
      <c r="O15" s="1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2:27" s="17" customFormat="1" ht="15.75">
      <c r="B16" s="41" t="s">
        <v>188</v>
      </c>
      <c r="C16" s="41" t="s">
        <v>243</v>
      </c>
      <c r="D16" s="121" t="s">
        <v>189</v>
      </c>
      <c r="E16" s="133" t="s">
        <v>190</v>
      </c>
      <c r="F16" s="134"/>
      <c r="G16" s="121" t="s">
        <v>191</v>
      </c>
      <c r="H16" s="135">
        <v>113101</v>
      </c>
      <c r="I16" s="135"/>
      <c r="J16" s="121" t="s">
        <v>192</v>
      </c>
      <c r="K16" s="133" t="s">
        <v>202</v>
      </c>
      <c r="L16" s="134"/>
      <c r="M16" s="80"/>
      <c r="N16" s="80"/>
      <c r="O16" s="80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2:27" s="17" customFormat="1" ht="15.75">
      <c r="B17" s="136" t="s">
        <v>194</v>
      </c>
      <c r="C17" s="136" t="s">
        <v>195</v>
      </c>
      <c r="D17" s="133" t="s">
        <v>196</v>
      </c>
      <c r="E17" s="138"/>
      <c r="F17" s="134"/>
      <c r="G17" s="133" t="s">
        <v>197</v>
      </c>
      <c r="H17" s="138"/>
      <c r="I17" s="134"/>
      <c r="J17" s="133" t="s">
        <v>198</v>
      </c>
      <c r="K17" s="138"/>
      <c r="L17" s="134"/>
      <c r="M17" s="80"/>
      <c r="N17" s="80"/>
      <c r="O17" s="80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2:27" s="17" customFormat="1" ht="15.75">
      <c r="B18" s="137"/>
      <c r="C18" s="137"/>
      <c r="D18" s="121" t="s">
        <v>199</v>
      </c>
      <c r="E18" s="121" t="s">
        <v>200</v>
      </c>
      <c r="F18" s="121" t="s">
        <v>201</v>
      </c>
      <c r="G18" s="121" t="s">
        <v>199</v>
      </c>
      <c r="H18" s="121" t="s">
        <v>200</v>
      </c>
      <c r="I18" s="121" t="s">
        <v>201</v>
      </c>
      <c r="J18" s="121" t="s">
        <v>199</v>
      </c>
      <c r="K18" s="121" t="s">
        <v>200</v>
      </c>
      <c r="L18" s="121" t="s">
        <v>201</v>
      </c>
      <c r="M18" s="80"/>
      <c r="N18" s="80"/>
      <c r="O18" s="80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2:27" s="17" customFormat="1" ht="16.5" thickBot="1">
      <c r="B19" s="43">
        <v>42920</v>
      </c>
      <c r="C19" s="44" t="s">
        <v>205</v>
      </c>
      <c r="D19" s="45">
        <v>18</v>
      </c>
      <c r="E19" s="46">
        <f>80.1-(80.1*2%)</f>
        <v>78.49799999999999</v>
      </c>
      <c r="F19" s="46">
        <f>D19*E19</f>
        <v>1412.9639999999999</v>
      </c>
      <c r="G19" s="45"/>
      <c r="H19" s="46"/>
      <c r="I19" s="46"/>
      <c r="J19" s="58">
        <f>D19</f>
        <v>18</v>
      </c>
      <c r="K19" s="59">
        <f>E19</f>
        <v>78.49799999999999</v>
      </c>
      <c r="L19" s="59">
        <f>J19*K19</f>
        <v>1412.9639999999999</v>
      </c>
      <c r="M19" s="114"/>
      <c r="N19" s="114"/>
      <c r="O19" s="1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2:27" s="17" customFormat="1" ht="16.5" thickBot="1">
      <c r="B20" s="43">
        <v>42924</v>
      </c>
      <c r="C20" s="44" t="s">
        <v>234</v>
      </c>
      <c r="D20" s="47">
        <v>1</v>
      </c>
      <c r="E20" s="48">
        <f>E19</f>
        <v>78.49799999999999</v>
      </c>
      <c r="F20" s="48">
        <f>D20*E20</f>
        <v>78.49799999999999</v>
      </c>
      <c r="G20" s="45"/>
      <c r="H20" s="46"/>
      <c r="I20" s="46"/>
      <c r="J20" s="60">
        <f>J19-D20</f>
        <v>17</v>
      </c>
      <c r="K20" s="61">
        <f>K19</f>
        <v>78.49799999999999</v>
      </c>
      <c r="L20" s="61">
        <f>J20*K20</f>
        <v>1334.4659999999999</v>
      </c>
      <c r="M20" s="114"/>
      <c r="N20" s="114"/>
      <c r="O20" s="1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2:27" s="17" customFormat="1" ht="16.5" thickBot="1">
      <c r="B21" s="43">
        <v>42926</v>
      </c>
      <c r="C21" s="44" t="s">
        <v>206</v>
      </c>
      <c r="D21" s="45"/>
      <c r="E21" s="46"/>
      <c r="F21" s="46"/>
      <c r="G21" s="45">
        <v>8</v>
      </c>
      <c r="H21" s="46">
        <f>K20</f>
        <v>78.49799999999999</v>
      </c>
      <c r="I21" s="46">
        <f>G21*H21</f>
        <v>627.98399999999992</v>
      </c>
      <c r="J21" s="60">
        <f>J20-G21</f>
        <v>9</v>
      </c>
      <c r="K21" s="61">
        <f>H21</f>
        <v>78.49799999999999</v>
      </c>
      <c r="L21" s="61">
        <f>J21*K21</f>
        <v>706.48199999999997</v>
      </c>
      <c r="M21" s="114"/>
      <c r="N21" s="114"/>
      <c r="O21" s="1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2:27" s="17" customFormat="1" ht="15.75">
      <c r="B22" s="54">
        <v>42929</v>
      </c>
      <c r="C22" s="55" t="s">
        <v>207</v>
      </c>
      <c r="D22" s="56">
        <v>6</v>
      </c>
      <c r="E22" s="46">
        <v>81.099999999999994</v>
      </c>
      <c r="F22" s="57">
        <f>D22*E22</f>
        <v>486.59999999999997</v>
      </c>
      <c r="G22" s="45"/>
      <c r="H22" s="46"/>
      <c r="I22" s="46"/>
      <c r="J22" s="62">
        <f>J21</f>
        <v>9</v>
      </c>
      <c r="K22" s="63">
        <f>K21</f>
        <v>78.49799999999999</v>
      </c>
      <c r="L22" s="63">
        <f>J22*K22</f>
        <v>706.48199999999997</v>
      </c>
      <c r="M22" s="114"/>
      <c r="N22" s="114"/>
      <c r="O22" s="1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2:27" s="17" customFormat="1" ht="16.5" thickBot="1">
      <c r="B23" s="54"/>
      <c r="C23" s="55"/>
      <c r="D23" s="56"/>
      <c r="E23" s="57"/>
      <c r="F23" s="57"/>
      <c r="G23" s="56"/>
      <c r="H23" s="57"/>
      <c r="I23" s="57"/>
      <c r="J23" s="58">
        <f>D22</f>
        <v>6</v>
      </c>
      <c r="K23" s="59">
        <f>E22</f>
        <v>81.099999999999994</v>
      </c>
      <c r="L23" s="59">
        <f>J23*K23</f>
        <v>486.59999999999997</v>
      </c>
      <c r="M23" s="114"/>
      <c r="N23" s="114"/>
      <c r="O23" s="1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2:27" s="17" customFormat="1" ht="15.75">
      <c r="B24" s="43">
        <v>42931</v>
      </c>
      <c r="C24" s="44" t="s">
        <v>208</v>
      </c>
      <c r="D24" s="44"/>
      <c r="E24" s="44"/>
      <c r="F24" s="44"/>
      <c r="G24" s="45">
        <v>4</v>
      </c>
      <c r="H24" s="64">
        <f>K22</f>
        <v>78.49799999999999</v>
      </c>
      <c r="I24" s="64">
        <f>G24*H24</f>
        <v>313.99199999999996</v>
      </c>
      <c r="J24" s="65">
        <f>J22-G24</f>
        <v>5</v>
      </c>
      <c r="K24" s="66">
        <f>H24</f>
        <v>78.49799999999999</v>
      </c>
      <c r="L24" s="66">
        <f>J24*K24</f>
        <v>392.48999999999995</v>
      </c>
      <c r="M24" s="114"/>
      <c r="N24" s="114"/>
      <c r="O24" s="1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2:27" s="17" customFormat="1" ht="16.5" thickBot="1">
      <c r="B25" s="44"/>
      <c r="C25" s="44"/>
      <c r="D25" s="44"/>
      <c r="E25" s="44"/>
      <c r="F25" s="44"/>
      <c r="G25" s="45"/>
      <c r="H25" s="46"/>
      <c r="I25" s="46"/>
      <c r="J25" s="58">
        <f>J23</f>
        <v>6</v>
      </c>
      <c r="K25" s="59">
        <f>K23</f>
        <v>81.099999999999994</v>
      </c>
      <c r="L25" s="59">
        <f>L23</f>
        <v>486.59999999999997</v>
      </c>
      <c r="M25" s="114"/>
      <c r="N25" s="114"/>
      <c r="O25" s="1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2:27" s="17" customFormat="1" ht="15.75">
      <c r="B26" s="43">
        <v>42932</v>
      </c>
      <c r="C26" s="44" t="s">
        <v>235</v>
      </c>
      <c r="D26" s="44"/>
      <c r="E26" s="44"/>
      <c r="F26" s="44"/>
      <c r="G26" s="47">
        <v>1</v>
      </c>
      <c r="H26" s="48">
        <f>H24</f>
        <v>78.49799999999999</v>
      </c>
      <c r="I26" s="48">
        <f>G26*H26</f>
        <v>78.49799999999999</v>
      </c>
      <c r="J26" s="67">
        <f>J24+G26</f>
        <v>6</v>
      </c>
      <c r="K26" s="63">
        <f>H26</f>
        <v>78.49799999999999</v>
      </c>
      <c r="L26" s="63">
        <f>J26*K26</f>
        <v>470.98799999999994</v>
      </c>
      <c r="M26" s="114"/>
      <c r="N26" s="114"/>
      <c r="O26" s="1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2:27" s="17" customFormat="1" ht="15.75">
      <c r="B27" s="44"/>
      <c r="C27" s="44"/>
      <c r="D27" s="44"/>
      <c r="E27" s="44"/>
      <c r="F27" s="44"/>
      <c r="G27" s="45"/>
      <c r="H27" s="46"/>
      <c r="I27" s="46"/>
      <c r="J27" s="67">
        <f>J25</f>
        <v>6</v>
      </c>
      <c r="K27" s="63">
        <f>K25</f>
        <v>81.099999999999994</v>
      </c>
      <c r="L27" s="63">
        <f>J27*K27</f>
        <v>486.59999999999997</v>
      </c>
      <c r="M27" s="114"/>
      <c r="N27" s="114"/>
      <c r="O27" s="1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</row>
  </sheetData>
  <mergeCells count="20">
    <mergeCell ref="J5:L5"/>
    <mergeCell ref="B15:L15"/>
    <mergeCell ref="E16:F16"/>
    <mergeCell ref="H16:I16"/>
    <mergeCell ref="K16:L16"/>
    <mergeCell ref="B17:B18"/>
    <mergeCell ref="C17:C18"/>
    <mergeCell ref="D17:F17"/>
    <mergeCell ref="G17:I17"/>
    <mergeCell ref="J17:L17"/>
    <mergeCell ref="B2:L2"/>
    <mergeCell ref="B3:L3"/>
    <mergeCell ref="E4:F4"/>
    <mergeCell ref="H4:I4"/>
    <mergeCell ref="K4:L4"/>
    <mergeCell ref="B14:L14"/>
    <mergeCell ref="B5:B6"/>
    <mergeCell ref="C5:C6"/>
    <mergeCell ref="D5:F5"/>
    <mergeCell ref="G5:I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1C4AF-11D2-44D5-8435-BCEF0497DAD3}">
  <dimension ref="A2:M52"/>
  <sheetViews>
    <sheetView zoomScale="80" zoomScaleNormal="80" workbookViewId="0">
      <selection activeCell="K3" sqref="K3"/>
    </sheetView>
  </sheetViews>
  <sheetFormatPr baseColWidth="10" defaultRowHeight="12.75"/>
  <cols>
    <col min="1" max="1" width="3.7109375" style="5" bestFit="1" customWidth="1"/>
    <col min="2" max="2" width="63.7109375" style="5" customWidth="1"/>
    <col min="3" max="3" width="7.5703125" style="6" customWidth="1"/>
    <col min="4" max="4" width="7.42578125" style="6" customWidth="1"/>
    <col min="5" max="6" width="9.5703125" style="6" customWidth="1"/>
    <col min="7" max="7" width="38.42578125" style="5" customWidth="1"/>
    <col min="8" max="8" width="11.42578125" style="5"/>
    <col min="9" max="9" width="28.42578125" style="5" customWidth="1"/>
    <col min="10" max="10" width="11.42578125" style="5"/>
    <col min="11" max="11" width="13.5703125" style="5" customWidth="1"/>
    <col min="12" max="12" width="12.7109375" style="5" customWidth="1"/>
    <col min="13" max="16384" width="11.42578125" style="5"/>
  </cols>
  <sheetData>
    <row r="2" spans="1:7" ht="15.75">
      <c r="A2" s="145" t="s">
        <v>227</v>
      </c>
      <c r="B2" s="146"/>
      <c r="C2" s="146"/>
      <c r="D2" s="146"/>
      <c r="E2" s="146"/>
      <c r="F2" s="146"/>
      <c r="G2" s="147"/>
    </row>
    <row r="3" spans="1:7" ht="15.75">
      <c r="A3" s="148" t="s">
        <v>225</v>
      </c>
      <c r="B3" s="149"/>
      <c r="C3" s="149"/>
      <c r="D3" s="149"/>
      <c r="E3" s="149"/>
      <c r="F3" s="149"/>
      <c r="G3" s="150"/>
    </row>
    <row r="4" spans="1:7" ht="15.75">
      <c r="A4" s="148" t="s">
        <v>226</v>
      </c>
      <c r="B4" s="149"/>
      <c r="C4" s="149"/>
      <c r="D4" s="149"/>
      <c r="E4" s="149"/>
      <c r="F4" s="149"/>
      <c r="G4" s="150"/>
    </row>
    <row r="5" spans="1:7" ht="15.75">
      <c r="A5" s="151" t="s">
        <v>228</v>
      </c>
      <c r="B5" s="152"/>
      <c r="C5" s="152"/>
      <c r="D5" s="152"/>
      <c r="E5" s="152"/>
      <c r="F5" s="152"/>
      <c r="G5" s="153"/>
    </row>
    <row r="6" spans="1:7" s="102" customFormat="1" ht="30.75" customHeight="1">
      <c r="A6" s="92" t="s">
        <v>70</v>
      </c>
      <c r="B6" s="91" t="s">
        <v>71</v>
      </c>
      <c r="C6" s="92" t="s">
        <v>72</v>
      </c>
      <c r="D6" s="92" t="s">
        <v>73</v>
      </c>
      <c r="E6" s="92" t="s">
        <v>125</v>
      </c>
      <c r="F6" s="92" t="s">
        <v>126</v>
      </c>
      <c r="G6" s="92" t="s">
        <v>127</v>
      </c>
    </row>
    <row r="7" spans="1:7" ht="35.1" customHeight="1">
      <c r="A7" s="89"/>
      <c r="B7" s="33" t="s">
        <v>51</v>
      </c>
      <c r="C7" s="89"/>
      <c r="D7" s="89"/>
      <c r="E7" s="103"/>
      <c r="F7" s="90"/>
      <c r="G7" s="90"/>
    </row>
    <row r="8" spans="1:7" ht="35.1" customHeight="1">
      <c r="A8" s="108">
        <v>1</v>
      </c>
      <c r="B8" s="20" t="s">
        <v>182</v>
      </c>
      <c r="C8" s="29" t="s">
        <v>110</v>
      </c>
      <c r="D8" s="29"/>
      <c r="E8" s="29">
        <v>10</v>
      </c>
      <c r="F8" s="29">
        <v>10</v>
      </c>
      <c r="G8" s="90"/>
    </row>
    <row r="9" spans="1:7" ht="35.1" customHeight="1">
      <c r="A9" s="108">
        <v>2</v>
      </c>
      <c r="B9" s="20" t="s">
        <v>102</v>
      </c>
      <c r="C9" s="29"/>
      <c r="D9" s="29" t="s">
        <v>110</v>
      </c>
      <c r="E9" s="29">
        <v>10</v>
      </c>
      <c r="F9" s="29">
        <v>0</v>
      </c>
      <c r="G9" s="20"/>
    </row>
    <row r="10" spans="1:7" ht="35.1" customHeight="1">
      <c r="A10" s="108">
        <v>3</v>
      </c>
      <c r="B10" s="20" t="s">
        <v>57</v>
      </c>
      <c r="C10" s="29" t="s">
        <v>110</v>
      </c>
      <c r="D10" s="29"/>
      <c r="E10" s="29">
        <v>10</v>
      </c>
      <c r="F10" s="29">
        <v>7</v>
      </c>
      <c r="G10" s="20" t="s">
        <v>134</v>
      </c>
    </row>
    <row r="11" spans="1:7" ht="35.1" customHeight="1">
      <c r="A11" s="108">
        <v>4</v>
      </c>
      <c r="B11" s="20" t="s">
        <v>140</v>
      </c>
      <c r="C11" s="29" t="s">
        <v>110</v>
      </c>
      <c r="D11" s="29"/>
      <c r="E11" s="29">
        <v>10</v>
      </c>
      <c r="F11" s="29">
        <v>8</v>
      </c>
      <c r="G11" s="20" t="s">
        <v>151</v>
      </c>
    </row>
    <row r="12" spans="1:7" ht="35.1" customHeight="1">
      <c r="A12" s="108">
        <v>6</v>
      </c>
      <c r="B12" s="20" t="s">
        <v>104</v>
      </c>
      <c r="C12" s="29" t="s">
        <v>110</v>
      </c>
      <c r="D12" s="29"/>
      <c r="E12" s="29">
        <v>10</v>
      </c>
      <c r="F12" s="29">
        <v>10</v>
      </c>
      <c r="G12" s="20"/>
    </row>
    <row r="13" spans="1:7" ht="35.1" customHeight="1">
      <c r="A13" s="108"/>
      <c r="B13" s="20"/>
      <c r="C13" s="118">
        <v>4</v>
      </c>
      <c r="D13" s="118">
        <v>1</v>
      </c>
      <c r="E13" s="118">
        <f>SUM(E8:E12)</f>
        <v>50</v>
      </c>
      <c r="F13" s="118">
        <f>SUM(F8:F12)</f>
        <v>35</v>
      </c>
      <c r="G13" s="20"/>
    </row>
    <row r="14" spans="1:7" ht="35.1" customHeight="1">
      <c r="A14" s="108"/>
      <c r="B14" s="33" t="s">
        <v>52</v>
      </c>
      <c r="C14" s="29"/>
      <c r="D14" s="29"/>
      <c r="E14" s="29"/>
      <c r="F14" s="29"/>
      <c r="G14" s="20"/>
    </row>
    <row r="15" spans="1:7" ht="35.1" customHeight="1">
      <c r="A15" s="108">
        <v>7</v>
      </c>
      <c r="B15" s="20" t="s">
        <v>108</v>
      </c>
      <c r="C15" s="29" t="s">
        <v>110</v>
      </c>
      <c r="D15" s="29"/>
      <c r="E15" s="29">
        <v>10</v>
      </c>
      <c r="F15" s="29">
        <v>10</v>
      </c>
      <c r="G15" s="20"/>
    </row>
    <row r="16" spans="1:7" ht="35.1" customHeight="1">
      <c r="A16" s="108">
        <v>8</v>
      </c>
      <c r="B16" s="20" t="s">
        <v>183</v>
      </c>
      <c r="C16" s="29" t="s">
        <v>110</v>
      </c>
      <c r="D16" s="29"/>
      <c r="E16" s="29">
        <v>10</v>
      </c>
      <c r="F16" s="29">
        <v>10</v>
      </c>
      <c r="G16" s="20"/>
    </row>
    <row r="17" spans="1:11" ht="35.1" customHeight="1">
      <c r="A17" s="108">
        <v>9</v>
      </c>
      <c r="B17" s="20" t="s">
        <v>143</v>
      </c>
      <c r="C17" s="29" t="s">
        <v>110</v>
      </c>
      <c r="D17" s="29"/>
      <c r="E17" s="29">
        <v>10</v>
      </c>
      <c r="F17" s="29">
        <v>10</v>
      </c>
      <c r="G17" s="20"/>
    </row>
    <row r="18" spans="1:11" ht="35.1" customHeight="1">
      <c r="A18" s="108">
        <v>10</v>
      </c>
      <c r="B18" s="20" t="s">
        <v>144</v>
      </c>
      <c r="C18" s="29" t="s">
        <v>110</v>
      </c>
      <c r="D18" s="29"/>
      <c r="E18" s="29">
        <v>10</v>
      </c>
      <c r="F18" s="29">
        <v>6</v>
      </c>
      <c r="G18" s="100" t="s">
        <v>152</v>
      </c>
    </row>
    <row r="19" spans="1:11" ht="35.1" customHeight="1">
      <c r="A19" s="108">
        <v>11</v>
      </c>
      <c r="B19" s="20" t="s">
        <v>145</v>
      </c>
      <c r="C19" s="29" t="s">
        <v>110</v>
      </c>
      <c r="D19" s="29"/>
      <c r="E19" s="29">
        <v>10</v>
      </c>
      <c r="F19" s="29">
        <v>9</v>
      </c>
      <c r="G19" s="20"/>
    </row>
    <row r="20" spans="1:11" ht="35.1" customHeight="1">
      <c r="A20" s="108"/>
      <c r="B20" s="20"/>
      <c r="C20" s="118">
        <v>5</v>
      </c>
      <c r="D20" s="118"/>
      <c r="E20" s="118">
        <f>SUM(E15:E19)</f>
        <v>50</v>
      </c>
      <c r="F20" s="118">
        <f>SUM(F15:F19)</f>
        <v>45</v>
      </c>
      <c r="G20" s="20"/>
    </row>
    <row r="21" spans="1:11" ht="35.1" customHeight="1">
      <c r="A21" s="108"/>
      <c r="B21" s="33" t="s">
        <v>53</v>
      </c>
      <c r="C21" s="29"/>
      <c r="D21" s="29"/>
      <c r="E21" s="29"/>
      <c r="F21" s="29"/>
      <c r="G21" s="20"/>
    </row>
    <row r="22" spans="1:11" ht="35.1" customHeight="1">
      <c r="A22" s="108">
        <v>12</v>
      </c>
      <c r="B22" s="20" t="s">
        <v>184</v>
      </c>
      <c r="C22" s="29" t="s">
        <v>110</v>
      </c>
      <c r="D22" s="29"/>
      <c r="E22" s="29">
        <v>10</v>
      </c>
      <c r="F22" s="29">
        <v>7</v>
      </c>
      <c r="G22" s="20"/>
    </row>
    <row r="23" spans="1:11" ht="35.1" customHeight="1">
      <c r="A23" s="108">
        <v>13</v>
      </c>
      <c r="B23" s="20" t="s">
        <v>109</v>
      </c>
      <c r="C23" s="29"/>
      <c r="D23" s="29" t="s">
        <v>110</v>
      </c>
      <c r="E23" s="29">
        <v>10</v>
      </c>
      <c r="F23" s="29">
        <v>0</v>
      </c>
      <c r="G23" s="20" t="s">
        <v>135</v>
      </c>
    </row>
    <row r="24" spans="1:11" ht="35.1" customHeight="1">
      <c r="A24" s="108">
        <v>14</v>
      </c>
      <c r="B24" s="20" t="s">
        <v>95</v>
      </c>
      <c r="C24" s="29" t="s">
        <v>110</v>
      </c>
      <c r="D24" s="29"/>
      <c r="E24" s="29">
        <v>10</v>
      </c>
      <c r="F24" s="29">
        <v>8</v>
      </c>
      <c r="G24" s="21" t="s">
        <v>139</v>
      </c>
    </row>
    <row r="25" spans="1:11" ht="35.1" customHeight="1">
      <c r="A25" s="108">
        <v>15</v>
      </c>
      <c r="B25" s="20" t="s">
        <v>97</v>
      </c>
      <c r="C25" s="29" t="s">
        <v>110</v>
      </c>
      <c r="D25" s="29"/>
      <c r="E25" s="29">
        <v>10</v>
      </c>
      <c r="F25" s="29">
        <v>10</v>
      </c>
      <c r="G25" s="20"/>
    </row>
    <row r="26" spans="1:11" ht="35.1" customHeight="1">
      <c r="A26" s="108">
        <v>16</v>
      </c>
      <c r="B26" s="20" t="s">
        <v>101</v>
      </c>
      <c r="C26" s="29"/>
      <c r="D26" s="29" t="s">
        <v>110</v>
      </c>
      <c r="E26" s="29">
        <v>10</v>
      </c>
      <c r="F26" s="29">
        <v>0</v>
      </c>
      <c r="G26" s="99"/>
      <c r="I26" s="111" t="s">
        <v>167</v>
      </c>
      <c r="J26" s="111" t="s">
        <v>165</v>
      </c>
      <c r="K26" s="111" t="s">
        <v>166</v>
      </c>
    </row>
    <row r="27" spans="1:11" ht="35.1" customHeight="1">
      <c r="A27" s="108">
        <v>17</v>
      </c>
      <c r="B27" s="20" t="s">
        <v>98</v>
      </c>
      <c r="C27" s="29" t="s">
        <v>110</v>
      </c>
      <c r="D27" s="29"/>
      <c r="E27" s="29">
        <v>10</v>
      </c>
      <c r="F27" s="29">
        <v>10</v>
      </c>
      <c r="G27" s="20"/>
      <c r="I27" s="94" t="s">
        <v>159</v>
      </c>
      <c r="J27" s="95" t="s">
        <v>162</v>
      </c>
      <c r="K27" s="95" t="s">
        <v>164</v>
      </c>
    </row>
    <row r="28" spans="1:11" ht="35.1" customHeight="1">
      <c r="A28" s="108">
        <v>18</v>
      </c>
      <c r="B28" s="20" t="s">
        <v>100</v>
      </c>
      <c r="C28" s="29" t="s">
        <v>110</v>
      </c>
      <c r="D28" s="29"/>
      <c r="E28" s="29">
        <v>10</v>
      </c>
      <c r="F28" s="29">
        <v>8</v>
      </c>
      <c r="G28" s="20" t="s">
        <v>137</v>
      </c>
      <c r="I28" s="96" t="s">
        <v>160</v>
      </c>
      <c r="J28" s="95" t="s">
        <v>163</v>
      </c>
      <c r="K28" s="95" t="s">
        <v>163</v>
      </c>
    </row>
    <row r="29" spans="1:11" ht="35.1" customHeight="1">
      <c r="A29" s="108">
        <v>19</v>
      </c>
      <c r="B29" s="20" t="s">
        <v>103</v>
      </c>
      <c r="C29" s="29" t="s">
        <v>110</v>
      </c>
      <c r="D29" s="29"/>
      <c r="E29" s="29">
        <v>10</v>
      </c>
      <c r="F29" s="29">
        <v>5</v>
      </c>
      <c r="G29" s="20" t="s">
        <v>138</v>
      </c>
      <c r="I29" s="97" t="s">
        <v>161</v>
      </c>
      <c r="J29" s="95" t="s">
        <v>164</v>
      </c>
      <c r="K29" s="95" t="s">
        <v>162</v>
      </c>
    </row>
    <row r="30" spans="1:11" ht="35.1" customHeight="1">
      <c r="A30" s="108"/>
      <c r="B30" s="20"/>
      <c r="C30" s="118">
        <v>6</v>
      </c>
      <c r="D30" s="118">
        <v>2</v>
      </c>
      <c r="E30" s="118">
        <f>SUM(E22:E29)</f>
        <v>80</v>
      </c>
      <c r="F30" s="118">
        <f>SUM(F22:F29)</f>
        <v>48</v>
      </c>
      <c r="G30" s="20"/>
    </row>
    <row r="31" spans="1:11" ht="35.1" customHeight="1">
      <c r="A31" s="108"/>
      <c r="B31" s="33" t="s">
        <v>54</v>
      </c>
      <c r="C31" s="29"/>
      <c r="D31" s="29"/>
      <c r="E31" s="29"/>
      <c r="F31" s="29"/>
      <c r="G31" s="20"/>
    </row>
    <row r="32" spans="1:11" ht="35.1" customHeight="1">
      <c r="A32" s="108">
        <v>20</v>
      </c>
      <c r="B32" s="20" t="s">
        <v>105</v>
      </c>
      <c r="C32" s="29" t="s">
        <v>110</v>
      </c>
      <c r="D32" s="29"/>
      <c r="E32" s="29">
        <v>10</v>
      </c>
      <c r="F32" s="29">
        <v>10</v>
      </c>
      <c r="G32" s="20"/>
    </row>
    <row r="33" spans="1:13" ht="35.1" customHeight="1">
      <c r="A33" s="108">
        <v>21</v>
      </c>
      <c r="B33" s="20" t="s">
        <v>106</v>
      </c>
      <c r="C33" s="29" t="s">
        <v>110</v>
      </c>
      <c r="D33" s="29"/>
      <c r="E33" s="29">
        <v>10</v>
      </c>
      <c r="F33" s="29">
        <v>10</v>
      </c>
      <c r="G33" s="20"/>
    </row>
    <row r="34" spans="1:13" ht="35.1" customHeight="1">
      <c r="A34" s="108">
        <v>22</v>
      </c>
      <c r="B34" s="20" t="s">
        <v>107</v>
      </c>
      <c r="C34" s="29" t="s">
        <v>110</v>
      </c>
      <c r="D34" s="29"/>
      <c r="E34" s="29">
        <v>10</v>
      </c>
      <c r="F34" s="29">
        <v>5</v>
      </c>
      <c r="G34" s="20" t="s">
        <v>153</v>
      </c>
    </row>
    <row r="35" spans="1:13" ht="35.1" customHeight="1">
      <c r="A35" s="108">
        <v>23</v>
      </c>
      <c r="B35" s="20" t="s">
        <v>94</v>
      </c>
      <c r="C35" s="29" t="s">
        <v>110</v>
      </c>
      <c r="D35" s="29"/>
      <c r="E35" s="29">
        <v>10</v>
      </c>
      <c r="F35" s="29">
        <v>10</v>
      </c>
      <c r="G35" s="20"/>
    </row>
    <row r="36" spans="1:13" ht="35.1" customHeight="1">
      <c r="A36" s="108">
        <v>24</v>
      </c>
      <c r="B36" s="20" t="s">
        <v>99</v>
      </c>
      <c r="C36" s="29" t="s">
        <v>110</v>
      </c>
      <c r="D36" s="29"/>
      <c r="E36" s="29">
        <v>10</v>
      </c>
      <c r="F36" s="29">
        <v>10</v>
      </c>
      <c r="G36" s="20" t="s">
        <v>136</v>
      </c>
    </row>
    <row r="37" spans="1:13" ht="50.25" customHeight="1">
      <c r="A37" s="108">
        <v>25</v>
      </c>
      <c r="B37" s="20" t="s">
        <v>142</v>
      </c>
      <c r="C37" s="29"/>
      <c r="D37" s="29" t="s">
        <v>110</v>
      </c>
      <c r="E37" s="29">
        <v>10</v>
      </c>
      <c r="F37" s="29">
        <v>0</v>
      </c>
      <c r="G37" s="20"/>
      <c r="I37" s="112" t="s">
        <v>168</v>
      </c>
      <c r="J37" s="103" t="s">
        <v>171</v>
      </c>
      <c r="K37" s="115" t="s">
        <v>172</v>
      </c>
      <c r="L37" s="115" t="s">
        <v>169</v>
      </c>
      <c r="M37" s="115" t="s">
        <v>170</v>
      </c>
    </row>
    <row r="38" spans="1:13" ht="35.25" customHeight="1">
      <c r="A38" s="108">
        <v>26</v>
      </c>
      <c r="B38" s="20" t="s">
        <v>96</v>
      </c>
      <c r="C38" s="29"/>
      <c r="D38" s="29" t="s">
        <v>110</v>
      </c>
      <c r="E38" s="29">
        <v>10</v>
      </c>
      <c r="F38" s="29">
        <v>0</v>
      </c>
      <c r="G38" s="20" t="s">
        <v>241</v>
      </c>
      <c r="I38" s="116" t="s">
        <v>51</v>
      </c>
      <c r="J38" s="108">
        <f>E13</f>
        <v>50</v>
      </c>
      <c r="K38" s="108">
        <f>F13</f>
        <v>35</v>
      </c>
      <c r="L38" s="117">
        <f t="shared" ref="L38:L43" si="0">(K38*100)/J38</f>
        <v>70</v>
      </c>
      <c r="M38" s="108" t="s">
        <v>163</v>
      </c>
    </row>
    <row r="39" spans="1:13" ht="35.25" customHeight="1">
      <c r="A39" s="108"/>
      <c r="B39" s="20"/>
      <c r="C39" s="118">
        <v>5</v>
      </c>
      <c r="D39" s="118">
        <v>2</v>
      </c>
      <c r="E39" s="118">
        <f>SUM(E32:E38)</f>
        <v>70</v>
      </c>
      <c r="F39" s="118">
        <f>SUM(F32:F38)</f>
        <v>45</v>
      </c>
      <c r="G39" s="20"/>
      <c r="I39" s="116" t="s">
        <v>52</v>
      </c>
      <c r="J39" s="108">
        <f>E20</f>
        <v>50</v>
      </c>
      <c r="K39" s="108">
        <f>F20</f>
        <v>45</v>
      </c>
      <c r="L39" s="117">
        <f t="shared" si="0"/>
        <v>90</v>
      </c>
      <c r="M39" s="108" t="s">
        <v>162</v>
      </c>
    </row>
    <row r="40" spans="1:13" ht="35.1" customHeight="1">
      <c r="A40" s="108"/>
      <c r="B40" s="33" t="s">
        <v>55</v>
      </c>
      <c r="C40" s="29"/>
      <c r="D40" s="29"/>
      <c r="E40" s="29"/>
      <c r="F40" s="29"/>
      <c r="G40" s="20"/>
      <c r="I40" s="116" t="s">
        <v>53</v>
      </c>
      <c r="J40" s="108">
        <f>E30</f>
        <v>80</v>
      </c>
      <c r="K40" s="108">
        <f>F30</f>
        <v>48</v>
      </c>
      <c r="L40" s="117">
        <f t="shared" si="0"/>
        <v>60</v>
      </c>
      <c r="M40" s="108" t="s">
        <v>163</v>
      </c>
    </row>
    <row r="41" spans="1:13" ht="35.1" customHeight="1">
      <c r="A41" s="108">
        <v>27</v>
      </c>
      <c r="B41" s="20" t="s">
        <v>141</v>
      </c>
      <c r="C41" s="29"/>
      <c r="D41" s="29" t="s">
        <v>110</v>
      </c>
      <c r="E41" s="29">
        <v>10</v>
      </c>
      <c r="F41" s="29">
        <v>0</v>
      </c>
      <c r="G41" s="20" t="s">
        <v>242</v>
      </c>
      <c r="I41" s="116" t="s">
        <v>54</v>
      </c>
      <c r="J41" s="108">
        <f>E39</f>
        <v>70</v>
      </c>
      <c r="K41" s="108">
        <f>F39</f>
        <v>45</v>
      </c>
      <c r="L41" s="117">
        <f t="shared" si="0"/>
        <v>64.285714285714292</v>
      </c>
      <c r="M41" s="108" t="s">
        <v>163</v>
      </c>
    </row>
    <row r="42" spans="1:13" ht="35.1" customHeight="1">
      <c r="A42" s="108">
        <v>28</v>
      </c>
      <c r="B42" s="20" t="s">
        <v>146</v>
      </c>
      <c r="C42" s="29" t="s">
        <v>110</v>
      </c>
      <c r="D42" s="29"/>
      <c r="E42" s="29">
        <v>10</v>
      </c>
      <c r="F42" s="29">
        <v>7</v>
      </c>
      <c r="G42" s="20" t="s">
        <v>154</v>
      </c>
      <c r="I42" s="116" t="s">
        <v>55</v>
      </c>
      <c r="J42" s="108">
        <f>E46</f>
        <v>50</v>
      </c>
      <c r="K42" s="108">
        <f>F46</f>
        <v>34</v>
      </c>
      <c r="L42" s="117">
        <f t="shared" si="0"/>
        <v>68</v>
      </c>
      <c r="M42" s="108" t="s">
        <v>163</v>
      </c>
    </row>
    <row r="43" spans="1:13" ht="34.5" customHeight="1">
      <c r="A43" s="108">
        <v>29</v>
      </c>
      <c r="B43" s="20" t="s">
        <v>147</v>
      </c>
      <c r="C43" s="29" t="s">
        <v>110</v>
      </c>
      <c r="D43" s="29"/>
      <c r="E43" s="29">
        <v>10</v>
      </c>
      <c r="F43" s="29">
        <v>10</v>
      </c>
      <c r="G43" s="20"/>
      <c r="I43" s="170" t="s">
        <v>74</v>
      </c>
      <c r="J43" s="171">
        <f>SUM(J38:J42)</f>
        <v>300</v>
      </c>
      <c r="K43" s="171">
        <f>SUM(K38:K42)</f>
        <v>207</v>
      </c>
      <c r="L43" s="172">
        <f t="shared" si="0"/>
        <v>69</v>
      </c>
      <c r="M43" s="120" t="s">
        <v>163</v>
      </c>
    </row>
    <row r="44" spans="1:13" ht="35.1" customHeight="1">
      <c r="A44" s="108">
        <v>30</v>
      </c>
      <c r="B44" s="20" t="s">
        <v>148</v>
      </c>
      <c r="C44" s="29" t="s">
        <v>110</v>
      </c>
      <c r="D44" s="29"/>
      <c r="E44" s="29">
        <v>10</v>
      </c>
      <c r="F44" s="29">
        <v>10</v>
      </c>
      <c r="G44" s="20"/>
      <c r="I44"/>
      <c r="J44"/>
      <c r="K44"/>
      <c r="L44"/>
      <c r="M44" s="93"/>
    </row>
    <row r="45" spans="1:13" ht="35.1" customHeight="1">
      <c r="A45" s="108">
        <v>31</v>
      </c>
      <c r="B45" s="20" t="s">
        <v>155</v>
      </c>
      <c r="C45" s="29" t="s">
        <v>110</v>
      </c>
      <c r="D45" s="29"/>
      <c r="E45" s="29">
        <v>10</v>
      </c>
      <c r="F45" s="29">
        <v>7</v>
      </c>
      <c r="G45" s="20"/>
      <c r="I45"/>
      <c r="J45"/>
      <c r="K45"/>
      <c r="L45"/>
      <c r="M45" s="93"/>
    </row>
    <row r="46" spans="1:13" ht="15">
      <c r="A46" s="154" t="s">
        <v>74</v>
      </c>
      <c r="B46" s="154"/>
      <c r="C46" s="118">
        <v>4</v>
      </c>
      <c r="D46" s="118">
        <v>1</v>
      </c>
      <c r="E46" s="118">
        <f>SUM(E41:E45)</f>
        <v>50</v>
      </c>
      <c r="F46" s="118">
        <f>SUM(F41:F45)</f>
        <v>34</v>
      </c>
      <c r="G46" s="20"/>
    </row>
    <row r="47" spans="1:13" ht="15" customHeight="1">
      <c r="A47" s="53"/>
      <c r="B47" s="53"/>
      <c r="C47" s="155" t="s">
        <v>236</v>
      </c>
      <c r="D47" s="156"/>
      <c r="E47" s="156"/>
      <c r="F47" s="156"/>
      <c r="G47" s="105" t="s">
        <v>149</v>
      </c>
    </row>
    <row r="48" spans="1:13" ht="15" customHeight="1">
      <c r="A48" s="53"/>
      <c r="B48" s="53"/>
      <c r="C48" s="143"/>
      <c r="D48" s="144"/>
      <c r="E48" s="144"/>
      <c r="F48" s="144"/>
      <c r="G48" s="106" t="s">
        <v>150</v>
      </c>
    </row>
    <row r="49" spans="1:7" ht="15" customHeight="1">
      <c r="A49" s="53"/>
      <c r="B49" s="53"/>
      <c r="C49" s="143"/>
      <c r="D49" s="144"/>
      <c r="E49" s="144"/>
      <c r="F49" s="144"/>
      <c r="G49" s="106" t="s">
        <v>256</v>
      </c>
    </row>
    <row r="50" spans="1:7" ht="15" customHeight="1">
      <c r="A50" s="53"/>
      <c r="B50" s="53"/>
      <c r="C50" s="139" t="s">
        <v>240</v>
      </c>
      <c r="D50" s="140"/>
      <c r="E50" s="140"/>
      <c r="F50" s="140"/>
      <c r="G50" s="106" t="s">
        <v>237</v>
      </c>
    </row>
    <row r="51" spans="1:7" ht="15" customHeight="1">
      <c r="A51" s="53"/>
      <c r="B51" s="53"/>
      <c r="C51" s="141" t="s">
        <v>239</v>
      </c>
      <c r="D51" s="142"/>
      <c r="E51" s="142"/>
      <c r="F51" s="142"/>
      <c r="G51" s="107" t="s">
        <v>257</v>
      </c>
    </row>
    <row r="52" spans="1:7" ht="15">
      <c r="A52"/>
      <c r="B52"/>
    </row>
  </sheetData>
  <mergeCells count="10">
    <mergeCell ref="C50:F50"/>
    <mergeCell ref="C51:F51"/>
    <mergeCell ref="C48:F48"/>
    <mergeCell ref="C49:F49"/>
    <mergeCell ref="A2:G2"/>
    <mergeCell ref="A3:G3"/>
    <mergeCell ref="A4:G4"/>
    <mergeCell ref="A5:G5"/>
    <mergeCell ref="A46:B46"/>
    <mergeCell ref="C47:F47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C8406-7A0A-4C0A-9ED2-7FFB095153FE}">
  <dimension ref="A1:N41"/>
  <sheetViews>
    <sheetView zoomScale="80" zoomScaleNormal="80" workbookViewId="0">
      <selection activeCell="J11" sqref="J11"/>
    </sheetView>
  </sheetViews>
  <sheetFormatPr baseColWidth="10" defaultRowHeight="14.25"/>
  <cols>
    <col min="1" max="1" width="3.7109375" style="101" customWidth="1"/>
    <col min="2" max="2" width="63.7109375" style="93" customWidth="1"/>
    <col min="3" max="4" width="7.42578125" style="101" customWidth="1"/>
    <col min="5" max="5" width="9.7109375" style="101" customWidth="1"/>
    <col min="6" max="7" width="9.7109375" style="93" customWidth="1"/>
    <col min="8" max="8" width="40.85546875" style="93" customWidth="1"/>
    <col min="9" max="9" width="11.42578125" style="93"/>
    <col min="10" max="10" width="26.7109375" style="93" customWidth="1"/>
    <col min="11" max="11" width="13.7109375" style="93" customWidth="1"/>
    <col min="12" max="12" width="13.85546875" style="93" bestFit="1" customWidth="1"/>
    <col min="13" max="13" width="12.5703125" style="93" customWidth="1"/>
    <col min="14" max="16384" width="11.42578125" style="93"/>
  </cols>
  <sheetData>
    <row r="1" spans="1:8">
      <c r="A1" s="110"/>
      <c r="B1" s="110"/>
      <c r="C1" s="110"/>
      <c r="D1" s="110"/>
      <c r="E1" s="104"/>
      <c r="F1" s="98"/>
      <c r="G1" s="98"/>
      <c r="H1" s="98"/>
    </row>
    <row r="3" spans="1:8" customFormat="1" ht="15.75">
      <c r="A3" s="145" t="s">
        <v>258</v>
      </c>
      <c r="B3" s="146"/>
      <c r="C3" s="146"/>
      <c r="D3" s="146"/>
      <c r="E3" s="146"/>
      <c r="F3" s="146"/>
      <c r="G3" s="146"/>
      <c r="H3" s="147"/>
    </row>
    <row r="4" spans="1:8" customFormat="1" ht="15.75">
      <c r="A4" s="148" t="s">
        <v>225</v>
      </c>
      <c r="B4" s="149"/>
      <c r="C4" s="149"/>
      <c r="D4" s="149"/>
      <c r="E4" s="149"/>
      <c r="F4" s="149"/>
      <c r="G4" s="149"/>
      <c r="H4" s="150"/>
    </row>
    <row r="5" spans="1:8" customFormat="1" ht="15.75">
      <c r="A5" s="151" t="s">
        <v>226</v>
      </c>
      <c r="B5" s="152"/>
      <c r="C5" s="152"/>
      <c r="D5" s="152"/>
      <c r="E5" s="152"/>
      <c r="F5" s="152"/>
      <c r="G5" s="152"/>
      <c r="H5" s="153"/>
    </row>
    <row r="6" spans="1:8" ht="35.25" customHeight="1">
      <c r="A6" s="173" t="s">
        <v>70</v>
      </c>
      <c r="B6" s="173" t="s">
        <v>71</v>
      </c>
      <c r="C6" s="173" t="s">
        <v>72</v>
      </c>
      <c r="D6" s="173" t="s">
        <v>73</v>
      </c>
      <c r="E6" s="173" t="s">
        <v>125</v>
      </c>
      <c r="F6" s="173" t="s">
        <v>126</v>
      </c>
      <c r="G6" s="173" t="s">
        <v>254</v>
      </c>
      <c r="H6" s="173" t="s">
        <v>255</v>
      </c>
    </row>
    <row r="7" spans="1:8" ht="35.1" customHeight="1">
      <c r="A7" s="174"/>
      <c r="B7" s="175" t="s">
        <v>51</v>
      </c>
      <c r="C7" s="174"/>
      <c r="D7" s="174"/>
      <c r="E7" s="174"/>
      <c r="F7" s="174"/>
      <c r="G7" s="174"/>
      <c r="H7" s="176"/>
    </row>
    <row r="8" spans="1:8" ht="39.950000000000003" customHeight="1">
      <c r="A8" s="174">
        <v>1</v>
      </c>
      <c r="B8" s="177" t="s">
        <v>173</v>
      </c>
      <c r="C8" s="174" t="s">
        <v>110</v>
      </c>
      <c r="D8" s="174"/>
      <c r="E8" s="174">
        <v>10</v>
      </c>
      <c r="F8" s="174">
        <v>7</v>
      </c>
      <c r="G8" s="174"/>
      <c r="H8" s="177" t="s">
        <v>174</v>
      </c>
    </row>
    <row r="9" spans="1:8" ht="46.5" customHeight="1">
      <c r="A9" s="174">
        <v>2</v>
      </c>
      <c r="B9" s="177" t="s">
        <v>56</v>
      </c>
      <c r="C9" s="174" t="s">
        <v>110</v>
      </c>
      <c r="D9" s="174"/>
      <c r="E9" s="174">
        <v>10</v>
      </c>
      <c r="F9" s="174">
        <v>4</v>
      </c>
      <c r="G9" s="174"/>
      <c r="H9" s="177" t="s">
        <v>129</v>
      </c>
    </row>
    <row r="10" spans="1:8" ht="49.5" customHeight="1">
      <c r="A10" s="174">
        <v>3</v>
      </c>
      <c r="B10" s="177" t="s">
        <v>60</v>
      </c>
      <c r="C10" s="174" t="s">
        <v>110</v>
      </c>
      <c r="D10" s="174"/>
      <c r="E10" s="174">
        <v>10</v>
      </c>
      <c r="F10" s="174">
        <v>5</v>
      </c>
      <c r="G10" s="174"/>
      <c r="H10" s="177" t="s">
        <v>130</v>
      </c>
    </row>
    <row r="11" spans="1:8" ht="39.950000000000003" customHeight="1">
      <c r="A11" s="174">
        <v>4</v>
      </c>
      <c r="B11" s="177" t="s">
        <v>58</v>
      </c>
      <c r="C11" s="174" t="s">
        <v>110</v>
      </c>
      <c r="D11" s="174"/>
      <c r="E11" s="174">
        <v>10</v>
      </c>
      <c r="F11" s="174">
        <v>8</v>
      </c>
      <c r="G11" s="174"/>
      <c r="H11" s="177"/>
    </row>
    <row r="12" spans="1:8" ht="39.950000000000003" customHeight="1">
      <c r="A12" s="174">
        <v>5</v>
      </c>
      <c r="B12" s="177" t="s">
        <v>59</v>
      </c>
      <c r="C12" s="174"/>
      <c r="D12" s="174" t="s">
        <v>110</v>
      </c>
      <c r="E12" s="174">
        <v>10</v>
      </c>
      <c r="F12" s="174">
        <v>0</v>
      </c>
      <c r="G12" s="174"/>
      <c r="H12" s="177"/>
    </row>
    <row r="13" spans="1:8" ht="39.950000000000003" customHeight="1">
      <c r="A13" s="178">
        <v>6</v>
      </c>
      <c r="B13" s="109" t="s">
        <v>93</v>
      </c>
      <c r="C13" s="178"/>
      <c r="D13" s="178" t="s">
        <v>110</v>
      </c>
      <c r="E13" s="174">
        <v>10</v>
      </c>
      <c r="F13" s="178">
        <v>0</v>
      </c>
      <c r="G13" s="178"/>
      <c r="H13" s="109" t="s">
        <v>131</v>
      </c>
    </row>
    <row r="14" spans="1:8" ht="39.950000000000003" customHeight="1">
      <c r="A14" s="178"/>
      <c r="B14" s="109"/>
      <c r="C14" s="179">
        <v>4</v>
      </c>
      <c r="D14" s="179">
        <v>2</v>
      </c>
      <c r="E14" s="180">
        <f>SUM(E8:E13)</f>
        <v>60</v>
      </c>
      <c r="F14" s="179">
        <f>SUM(F8:F13)</f>
        <v>24</v>
      </c>
      <c r="G14" s="179"/>
      <c r="H14" s="109"/>
    </row>
    <row r="15" spans="1:8" ht="39.950000000000003" customHeight="1">
      <c r="A15" s="174"/>
      <c r="B15" s="181" t="s">
        <v>52</v>
      </c>
      <c r="C15" s="174"/>
      <c r="D15" s="174"/>
      <c r="E15" s="174"/>
      <c r="F15" s="174"/>
      <c r="G15" s="174"/>
      <c r="H15" s="177"/>
    </row>
    <row r="16" spans="1:8" ht="63" customHeight="1">
      <c r="A16" s="174">
        <v>7</v>
      </c>
      <c r="B16" s="177" t="s">
        <v>61</v>
      </c>
      <c r="C16" s="174"/>
      <c r="D16" s="174" t="s">
        <v>110</v>
      </c>
      <c r="E16" s="174">
        <v>10</v>
      </c>
      <c r="F16" s="174">
        <v>0</v>
      </c>
      <c r="G16" s="174"/>
      <c r="H16" s="177" t="s">
        <v>132</v>
      </c>
    </row>
    <row r="17" spans="1:14" ht="39.950000000000003" customHeight="1">
      <c r="A17" s="174">
        <v>8</v>
      </c>
      <c r="B17" s="177" t="s">
        <v>62</v>
      </c>
      <c r="C17" s="174"/>
      <c r="D17" s="174" t="s">
        <v>110</v>
      </c>
      <c r="E17" s="174">
        <v>10</v>
      </c>
      <c r="F17" s="174">
        <v>0</v>
      </c>
      <c r="G17" s="174"/>
      <c r="H17" s="177" t="s">
        <v>133</v>
      </c>
    </row>
    <row r="18" spans="1:14" ht="39.950000000000003" customHeight="1">
      <c r="A18" s="174">
        <v>9</v>
      </c>
      <c r="B18" s="177" t="s">
        <v>178</v>
      </c>
      <c r="C18" s="174"/>
      <c r="D18" s="174" t="s">
        <v>110</v>
      </c>
      <c r="E18" s="174">
        <v>10</v>
      </c>
      <c r="F18" s="174">
        <v>0</v>
      </c>
      <c r="G18" s="174"/>
      <c r="H18" s="177"/>
    </row>
    <row r="19" spans="1:14" ht="39.950000000000003" customHeight="1">
      <c r="A19" s="174">
        <v>10</v>
      </c>
      <c r="B19" s="177" t="s">
        <v>63</v>
      </c>
      <c r="C19" s="174" t="s">
        <v>110</v>
      </c>
      <c r="D19" s="174"/>
      <c r="E19" s="174">
        <v>10</v>
      </c>
      <c r="F19" s="174">
        <v>6</v>
      </c>
      <c r="G19" s="174"/>
      <c r="H19" s="177" t="s">
        <v>152</v>
      </c>
    </row>
    <row r="20" spans="1:14" ht="39.950000000000003" customHeight="1">
      <c r="A20" s="174">
        <v>11</v>
      </c>
      <c r="B20" s="177" t="s">
        <v>64</v>
      </c>
      <c r="C20" s="174" t="s">
        <v>110</v>
      </c>
      <c r="D20" s="174"/>
      <c r="E20" s="174">
        <v>10</v>
      </c>
      <c r="F20" s="174">
        <v>7</v>
      </c>
      <c r="G20" s="174"/>
      <c r="H20" s="177" t="s">
        <v>128</v>
      </c>
    </row>
    <row r="21" spans="1:14" ht="39.950000000000003" customHeight="1">
      <c r="A21" s="174"/>
      <c r="B21" s="177"/>
      <c r="C21" s="180">
        <v>2</v>
      </c>
      <c r="D21" s="180">
        <v>3</v>
      </c>
      <c r="E21" s="180">
        <f>SUM(E16:E20)</f>
        <v>50</v>
      </c>
      <c r="F21" s="180">
        <f>SUM(F16:F20)</f>
        <v>13</v>
      </c>
      <c r="G21" s="180"/>
      <c r="H21" s="177"/>
      <c r="J21" s="111" t="s">
        <v>167</v>
      </c>
      <c r="K21" s="111" t="s">
        <v>165</v>
      </c>
      <c r="L21" s="111" t="s">
        <v>166</v>
      </c>
    </row>
    <row r="22" spans="1:14" ht="39.950000000000003" customHeight="1">
      <c r="A22" s="174"/>
      <c r="B22" s="181" t="s">
        <v>53</v>
      </c>
      <c r="C22" s="174"/>
      <c r="D22" s="174"/>
      <c r="E22" s="174"/>
      <c r="F22" s="174"/>
      <c r="G22" s="174"/>
      <c r="H22" s="177"/>
      <c r="J22" s="94" t="s">
        <v>159</v>
      </c>
      <c r="K22" s="95" t="s">
        <v>162</v>
      </c>
      <c r="L22" s="95" t="s">
        <v>164</v>
      </c>
    </row>
    <row r="23" spans="1:14" ht="39.950000000000003" customHeight="1">
      <c r="A23" s="174">
        <v>12</v>
      </c>
      <c r="B23" s="177" t="s">
        <v>65</v>
      </c>
      <c r="C23" s="174" t="s">
        <v>110</v>
      </c>
      <c r="D23" s="174"/>
      <c r="E23" s="174">
        <v>10</v>
      </c>
      <c r="F23" s="174">
        <v>10</v>
      </c>
      <c r="G23" s="174"/>
      <c r="H23" s="177"/>
      <c r="J23" s="96" t="s">
        <v>160</v>
      </c>
      <c r="K23" s="95" t="s">
        <v>163</v>
      </c>
      <c r="L23" s="95" t="s">
        <v>163</v>
      </c>
    </row>
    <row r="24" spans="1:14" ht="39.950000000000003" customHeight="1">
      <c r="A24" s="174">
        <v>13</v>
      </c>
      <c r="B24" s="177" t="s">
        <v>175</v>
      </c>
      <c r="C24" s="174" t="s">
        <v>110</v>
      </c>
      <c r="D24" s="174"/>
      <c r="E24" s="174">
        <v>10</v>
      </c>
      <c r="F24" s="174">
        <v>3</v>
      </c>
      <c r="G24" s="174"/>
      <c r="H24" s="177" t="s">
        <v>252</v>
      </c>
      <c r="J24" s="97" t="s">
        <v>161</v>
      </c>
      <c r="K24" s="95" t="s">
        <v>164</v>
      </c>
      <c r="L24" s="95" t="s">
        <v>162</v>
      </c>
    </row>
    <row r="25" spans="1:14" ht="39.950000000000003" customHeight="1">
      <c r="A25" s="174">
        <v>14</v>
      </c>
      <c r="B25" s="177" t="s">
        <v>179</v>
      </c>
      <c r="C25" s="174" t="s">
        <v>110</v>
      </c>
      <c r="D25" s="174"/>
      <c r="E25" s="174">
        <v>10</v>
      </c>
      <c r="F25" s="174">
        <v>10</v>
      </c>
      <c r="G25" s="174"/>
      <c r="H25" s="177"/>
    </row>
    <row r="26" spans="1:14" ht="39.950000000000003" customHeight="1">
      <c r="A26" s="174">
        <v>15</v>
      </c>
      <c r="B26" s="177" t="s">
        <v>176</v>
      </c>
      <c r="C26" s="174" t="s">
        <v>110</v>
      </c>
      <c r="D26" s="174"/>
      <c r="E26" s="174">
        <v>10</v>
      </c>
      <c r="F26" s="174">
        <v>10</v>
      </c>
      <c r="G26" s="174"/>
      <c r="H26" s="177"/>
      <c r="J26" s="112" t="s">
        <v>168</v>
      </c>
      <c r="K26" s="103" t="s">
        <v>171</v>
      </c>
      <c r="L26" s="115" t="s">
        <v>172</v>
      </c>
      <c r="M26" s="115" t="s">
        <v>169</v>
      </c>
      <c r="N26" s="115" t="s">
        <v>170</v>
      </c>
    </row>
    <row r="27" spans="1:14" ht="39.950000000000003" customHeight="1">
      <c r="A27" s="174"/>
      <c r="B27" s="177"/>
      <c r="C27" s="180">
        <v>4</v>
      </c>
      <c r="D27" s="180"/>
      <c r="E27" s="180">
        <f>SUM(E23:E26)</f>
        <v>40</v>
      </c>
      <c r="F27" s="180">
        <f>SUM(F23:F26)</f>
        <v>33</v>
      </c>
      <c r="G27" s="180"/>
      <c r="H27" s="177"/>
      <c r="J27" s="116" t="s">
        <v>51</v>
      </c>
      <c r="K27" s="108">
        <f>E14</f>
        <v>60</v>
      </c>
      <c r="L27" s="108">
        <f>F14</f>
        <v>24</v>
      </c>
      <c r="M27" s="117">
        <f t="shared" ref="M27:M32" si="0">(L27*100)/K27</f>
        <v>40</v>
      </c>
      <c r="N27" s="108" t="s">
        <v>164</v>
      </c>
    </row>
    <row r="28" spans="1:14" ht="39.950000000000003" customHeight="1">
      <c r="A28" s="174"/>
      <c r="B28" s="181" t="s">
        <v>54</v>
      </c>
      <c r="C28" s="174"/>
      <c r="D28" s="174"/>
      <c r="E28" s="174"/>
      <c r="F28" s="174"/>
      <c r="G28" s="174"/>
      <c r="H28" s="177"/>
      <c r="J28" s="116" t="s">
        <v>52</v>
      </c>
      <c r="K28" s="108">
        <f>E21</f>
        <v>50</v>
      </c>
      <c r="L28" s="108">
        <f>F21</f>
        <v>13</v>
      </c>
      <c r="M28" s="117">
        <f t="shared" si="0"/>
        <v>26</v>
      </c>
      <c r="N28" s="108" t="s">
        <v>164</v>
      </c>
    </row>
    <row r="29" spans="1:14" ht="39.950000000000003" customHeight="1">
      <c r="A29" s="174">
        <v>16</v>
      </c>
      <c r="B29" s="177" t="s">
        <v>66</v>
      </c>
      <c r="C29" s="174" t="s">
        <v>110</v>
      </c>
      <c r="D29" s="174"/>
      <c r="E29" s="174">
        <v>10</v>
      </c>
      <c r="F29" s="174">
        <v>8</v>
      </c>
      <c r="G29" s="174"/>
      <c r="H29" s="177"/>
      <c r="J29" s="116" t="s">
        <v>53</v>
      </c>
      <c r="K29" s="108">
        <f>E27</f>
        <v>40</v>
      </c>
      <c r="L29" s="108">
        <f>F27</f>
        <v>33</v>
      </c>
      <c r="M29" s="117">
        <f t="shared" si="0"/>
        <v>82.5</v>
      </c>
      <c r="N29" s="108" t="s">
        <v>162</v>
      </c>
    </row>
    <row r="30" spans="1:14" ht="39.950000000000003" customHeight="1">
      <c r="A30" s="174">
        <v>17</v>
      </c>
      <c r="B30" s="177" t="s">
        <v>177</v>
      </c>
      <c r="C30" s="174" t="s">
        <v>110</v>
      </c>
      <c r="D30" s="174"/>
      <c r="E30" s="174">
        <v>10</v>
      </c>
      <c r="F30" s="174">
        <v>4</v>
      </c>
      <c r="G30" s="174"/>
      <c r="H30" s="177"/>
      <c r="J30" s="116" t="s">
        <v>54</v>
      </c>
      <c r="K30" s="108">
        <f>E32</f>
        <v>30</v>
      </c>
      <c r="L30" s="108">
        <f>F32</f>
        <v>16</v>
      </c>
      <c r="M30" s="117">
        <f t="shared" si="0"/>
        <v>53.333333333333336</v>
      </c>
      <c r="N30" s="108" t="s">
        <v>163</v>
      </c>
    </row>
    <row r="31" spans="1:14" ht="39.950000000000003" customHeight="1">
      <c r="A31" s="174">
        <v>18</v>
      </c>
      <c r="B31" s="177" t="s">
        <v>253</v>
      </c>
      <c r="C31" s="174" t="s">
        <v>110</v>
      </c>
      <c r="D31" s="174"/>
      <c r="E31" s="174">
        <v>10</v>
      </c>
      <c r="F31" s="174">
        <v>4</v>
      </c>
      <c r="G31" s="174"/>
      <c r="H31" s="177" t="s">
        <v>180</v>
      </c>
      <c r="J31" s="116" t="s">
        <v>55</v>
      </c>
      <c r="K31" s="108">
        <f>E38</f>
        <v>40</v>
      </c>
      <c r="L31" s="108">
        <f>F38</f>
        <v>28</v>
      </c>
      <c r="M31" s="117">
        <f t="shared" si="0"/>
        <v>70</v>
      </c>
      <c r="N31" s="108" t="s">
        <v>163</v>
      </c>
    </row>
    <row r="32" spans="1:14" ht="39.950000000000003" customHeight="1">
      <c r="A32" s="174"/>
      <c r="B32" s="177"/>
      <c r="C32" s="180">
        <v>3</v>
      </c>
      <c r="D32" s="180"/>
      <c r="E32" s="180">
        <f>SUM(E29:E31)</f>
        <v>30</v>
      </c>
      <c r="F32" s="180">
        <f>SUM(F29:F31)</f>
        <v>16</v>
      </c>
      <c r="G32" s="180"/>
      <c r="H32" s="177"/>
      <c r="J32" s="170" t="s">
        <v>74</v>
      </c>
      <c r="K32" s="171">
        <f>SUM(K27:K31)</f>
        <v>220</v>
      </c>
      <c r="L32" s="171">
        <f>SUM(L27:L31)</f>
        <v>114</v>
      </c>
      <c r="M32" s="172">
        <f t="shared" si="0"/>
        <v>51.81818181818182</v>
      </c>
      <c r="N32" s="108" t="s">
        <v>163</v>
      </c>
    </row>
    <row r="33" spans="1:13" ht="39.950000000000003" customHeight="1">
      <c r="A33" s="174"/>
      <c r="B33" s="181" t="s">
        <v>55</v>
      </c>
      <c r="C33" s="174"/>
      <c r="D33" s="174"/>
      <c r="E33" s="174"/>
      <c r="F33" s="174"/>
      <c r="G33" s="174"/>
      <c r="H33" s="177"/>
      <c r="J33"/>
      <c r="K33"/>
      <c r="L33"/>
      <c r="M33"/>
    </row>
    <row r="34" spans="1:13" ht="39.950000000000003" customHeight="1">
      <c r="A34" s="174">
        <v>19</v>
      </c>
      <c r="B34" s="177" t="s">
        <v>67</v>
      </c>
      <c r="C34" s="174" t="s">
        <v>110</v>
      </c>
      <c r="D34" s="174"/>
      <c r="E34" s="174">
        <v>10</v>
      </c>
      <c r="F34" s="174">
        <v>7</v>
      </c>
      <c r="G34" s="174"/>
      <c r="H34" s="177"/>
      <c r="J34"/>
      <c r="K34"/>
      <c r="L34"/>
      <c r="M34"/>
    </row>
    <row r="35" spans="1:13" ht="39.950000000000003" customHeight="1">
      <c r="A35" s="174">
        <v>20</v>
      </c>
      <c r="B35" s="177" t="s">
        <v>92</v>
      </c>
      <c r="C35" s="174" t="s">
        <v>110</v>
      </c>
      <c r="D35" s="174"/>
      <c r="E35" s="174">
        <v>10</v>
      </c>
      <c r="F35" s="174">
        <v>10</v>
      </c>
      <c r="G35" s="174"/>
      <c r="H35" s="177"/>
    </row>
    <row r="36" spans="1:13" ht="39.950000000000003" customHeight="1">
      <c r="A36" s="174">
        <v>21</v>
      </c>
      <c r="B36" s="177" t="s">
        <v>68</v>
      </c>
      <c r="C36" s="174" t="s">
        <v>110</v>
      </c>
      <c r="D36" s="174"/>
      <c r="E36" s="174">
        <v>10</v>
      </c>
      <c r="F36" s="174">
        <v>7</v>
      </c>
      <c r="G36" s="174"/>
      <c r="H36" s="177"/>
    </row>
    <row r="37" spans="1:13" ht="39.950000000000003" customHeight="1">
      <c r="A37" s="174">
        <v>22</v>
      </c>
      <c r="B37" s="177" t="s">
        <v>181</v>
      </c>
      <c r="C37" s="174" t="s">
        <v>110</v>
      </c>
      <c r="D37" s="174"/>
      <c r="E37" s="174">
        <v>10</v>
      </c>
      <c r="F37" s="174">
        <v>4</v>
      </c>
      <c r="G37" s="174"/>
      <c r="H37" s="177"/>
    </row>
    <row r="38" spans="1:13" ht="15">
      <c r="A38" s="182"/>
      <c r="B38" s="183"/>
      <c r="C38" s="184">
        <v>4</v>
      </c>
      <c r="D38" s="182"/>
      <c r="E38" s="184">
        <f>SUM(E34:E37)</f>
        <v>40</v>
      </c>
      <c r="F38" s="184">
        <f>SUM(F34:F37)</f>
        <v>28</v>
      </c>
      <c r="G38" s="184"/>
      <c r="H38" s="185"/>
    </row>
    <row r="39" spans="1:13" ht="15">
      <c r="A39" s="186"/>
      <c r="B39" s="186"/>
      <c r="C39" s="187" t="s">
        <v>236</v>
      </c>
      <c r="D39" s="188"/>
      <c r="E39" s="188"/>
      <c r="F39" s="188"/>
      <c r="G39" s="189"/>
      <c r="H39" s="190" t="s">
        <v>149</v>
      </c>
    </row>
    <row r="40" spans="1:13" ht="15">
      <c r="A40" s="186"/>
      <c r="B40" s="186"/>
      <c r="C40" s="191" t="s">
        <v>240</v>
      </c>
      <c r="D40" s="192"/>
      <c r="E40" s="192"/>
      <c r="F40" s="192"/>
      <c r="G40" s="193"/>
      <c r="H40" s="194" t="s">
        <v>237</v>
      </c>
    </row>
    <row r="41" spans="1:13" ht="15">
      <c r="A41" s="186"/>
      <c r="B41" s="186"/>
      <c r="C41" s="195" t="s">
        <v>239</v>
      </c>
      <c r="D41" s="196"/>
      <c r="E41" s="196"/>
      <c r="F41" s="196"/>
      <c r="G41" s="197"/>
      <c r="H41" s="198" t="s">
        <v>238</v>
      </c>
    </row>
  </sheetData>
  <mergeCells count="6">
    <mergeCell ref="C39:F39"/>
    <mergeCell ref="C40:F40"/>
    <mergeCell ref="C41:F41"/>
    <mergeCell ref="A3:H3"/>
    <mergeCell ref="A4:H4"/>
    <mergeCell ref="A5:H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ANALISIS VERT 2016</vt:lpstr>
      <vt:lpstr>ANALISIS VERT 2017</vt:lpstr>
      <vt:lpstr>ANALISIS HOR</vt:lpstr>
      <vt:lpstr>ANALISIS VER</vt:lpstr>
      <vt:lpstr>ANALISIS HORIZ</vt:lpstr>
      <vt:lpstr>REG CONTABLE</vt:lpstr>
      <vt:lpstr>KARDEX</vt:lpstr>
      <vt:lpstr>CI-INVENTARIO</vt:lpstr>
      <vt:lpstr>CI GENERAL</vt:lpstr>
      <vt:lpstr>RESULTADOS DE CI</vt:lpstr>
      <vt:lpstr>ESTRATOS</vt:lpstr>
      <vt:lpstr>ABC</vt:lpstr>
      <vt:lpstr>MODELO CEP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2018-05-16T20:19:38Z</dcterms:created>
  <dcterms:modified xsi:type="dcterms:W3CDTF">2018-10-19T05:12:03Z</dcterms:modified>
</cp:coreProperties>
</file>