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PCX\Documents\Tesis Disipadores Viscoelasticos\Para Biblioteca\"/>
    </mc:Choice>
  </mc:AlternateContent>
  <xr:revisionPtr revIDLastSave="0" documentId="8_{17D4DB30-F265-400C-9F37-A7D3C2B6657F}" xr6:coauthVersionLast="32" xr6:coauthVersionMax="32" xr10:uidLastSave="{00000000-0000-0000-0000-000000000000}"/>
  <workbookProtection workbookAlgorithmName="SHA-512" workbookHashValue="k+RehIH1Gc56PZ1C2Se8gjKs0CfbGi6R76VBIRmpmjA5+mt2qtvaap4nXb2veZN89Sp+y9SA1qGqnj3sW1HK/w==" workbookSaltValue="pnSg/kNZgS/n2uybSqqNMA==" workbookSpinCount="100000" lockStructure="1"/>
  <bookViews>
    <workbookView xWindow="0" yWindow="0" windowWidth="14610" windowHeight="7755" tabRatio="916" activeTab="4" xr2:uid="{00000000-000D-0000-FFFF-FFFF00000000}"/>
  </bookViews>
  <sheets>
    <sheet name="Presentacion" sheetId="61" r:id="rId1"/>
    <sheet name="1. Prediseño" sheetId="36" r:id="rId2"/>
    <sheet name="2. Propiedades de Disipador" sheetId="42" r:id="rId3"/>
    <sheet name="3. Fuerzas Laterales Equiv." sheetId="46" r:id="rId4"/>
    <sheet name="1.1 Espectro de Diseño" sheetId="17" r:id="rId5"/>
    <sheet name="3.1 Coef. de Amortiguamiento" sheetId="49" r:id="rId6"/>
  </sheets>
  <definedNames>
    <definedName name="__IND1" localSheetId="1">#REF!</definedName>
    <definedName name="__IND1">#REF!</definedName>
    <definedName name="_IND1" localSheetId="1">#REF!</definedName>
    <definedName name="_IND1">#REF!</definedName>
    <definedName name="Columna">#REF!</definedName>
    <definedName name="E">#REF!</definedName>
    <definedName name="l">#REF!</definedName>
    <definedName name="Shape" localSheetId="1">#REF!</definedName>
    <definedName name="Shape">#REF!</definedName>
    <definedName name="solver_adj" localSheetId="2" hidden="1">'3. Fuerzas Laterales Equiv.'!#REF!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'3. Fuerzas Laterales Equiv.'!#REF!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'3. Fuerzas Laterales Equiv.'!#REF!</definedName>
    <definedName name="solver_pre" localSheetId="2" hidden="1">0.000001</definedName>
    <definedName name="solver_rbv" localSheetId="2" hidden="1">2</definedName>
    <definedName name="solver_rel1" localSheetId="2" hidden="1">2</definedName>
    <definedName name="solver_rhs1" localSheetId="2" hidden="1">'3. Fuerzas Laterales Equiv.'!#REF!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0</definedName>
    <definedName name="solver_ver" localSheetId="2" hidden="1">3</definedName>
  </definedNames>
  <calcPr calcId="179017"/>
  <customWorkbookViews>
    <customWorkbookView name="Christian - Vista personalizada" guid="{3FFDECAB-ACAB-404B-9FBF-970DF75726A8}" mergeInterval="0" personalView="1" maximized="1" xWindow="-8" yWindow="-8" windowWidth="1616" windowHeight="876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7" l="1"/>
  <c r="C13" i="17"/>
  <c r="C12" i="17"/>
  <c r="C11" i="17"/>
  <c r="C10" i="17"/>
  <c r="E27" i="36"/>
  <c r="P15" i="36"/>
  <c r="P14" i="36"/>
  <c r="P13" i="36"/>
  <c r="P11" i="36"/>
  <c r="P10" i="36"/>
  <c r="P9" i="36"/>
  <c r="P8" i="36"/>
  <c r="P7" i="36"/>
  <c r="P6" i="36"/>
  <c r="E530" i="46" l="1"/>
  <c r="F530" i="46"/>
  <c r="E531" i="46"/>
  <c r="F531" i="46"/>
  <c r="E532" i="46"/>
  <c r="F532" i="46"/>
  <c r="E533" i="46"/>
  <c r="F533" i="46"/>
  <c r="E534" i="46"/>
  <c r="F534" i="46"/>
  <c r="E535" i="46"/>
  <c r="F535" i="46"/>
  <c r="F529" i="46"/>
  <c r="E529" i="46"/>
  <c r="E514" i="46"/>
  <c r="F514" i="46"/>
  <c r="E515" i="46"/>
  <c r="F515" i="46"/>
  <c r="E516" i="46"/>
  <c r="F516" i="46"/>
  <c r="E517" i="46"/>
  <c r="F517" i="46"/>
  <c r="E518" i="46"/>
  <c r="F518" i="46"/>
  <c r="E519" i="46"/>
  <c r="F519" i="46"/>
  <c r="F513" i="46"/>
  <c r="E513" i="46"/>
  <c r="F471" i="46"/>
  <c r="F472" i="46"/>
  <c r="F473" i="46"/>
  <c r="F474" i="46"/>
  <c r="F475" i="46"/>
  <c r="F476" i="46"/>
  <c r="F477" i="46"/>
  <c r="E472" i="46"/>
  <c r="E473" i="46"/>
  <c r="E474" i="46"/>
  <c r="E475" i="46"/>
  <c r="E476" i="46"/>
  <c r="E477" i="46"/>
  <c r="E471" i="46"/>
  <c r="T7" i="46"/>
  <c r="T8" i="46"/>
  <c r="T9" i="46"/>
  <c r="T10" i="46"/>
  <c r="T11" i="46"/>
  <c r="T12" i="46"/>
  <c r="T13" i="46"/>
  <c r="T14" i="46"/>
  <c r="T15" i="46"/>
  <c r="T16" i="46"/>
  <c r="T17" i="46"/>
  <c r="T18" i="46"/>
  <c r="I8" i="46"/>
  <c r="I9" i="46"/>
  <c r="I10" i="46"/>
  <c r="I11" i="46"/>
  <c r="I12" i="46"/>
  <c r="I13" i="46"/>
  <c r="I14" i="46"/>
  <c r="I15" i="46"/>
  <c r="J15" i="46"/>
  <c r="C47" i="42"/>
  <c r="E82" i="42"/>
  <c r="K83" i="42"/>
  <c r="K84" i="42"/>
  <c r="K85" i="42"/>
  <c r="K86" i="42"/>
  <c r="K87" i="42"/>
  <c r="K82" i="42"/>
  <c r="J82" i="42"/>
  <c r="D83" i="42"/>
  <c r="D84" i="42"/>
  <c r="D85" i="42"/>
  <c r="D86" i="42"/>
  <c r="D87" i="42"/>
  <c r="D82" i="42"/>
  <c r="P16" i="42"/>
  <c r="P15" i="46" s="1"/>
  <c r="P8" i="42"/>
  <c r="P7" i="46" s="1"/>
  <c r="P9" i="42"/>
  <c r="P8" i="46" s="1"/>
  <c r="P10" i="42"/>
  <c r="P9" i="46" s="1"/>
  <c r="P11" i="42"/>
  <c r="P10" i="46" s="1"/>
  <c r="P12" i="42"/>
  <c r="P11" i="46" s="1"/>
  <c r="P7" i="42"/>
  <c r="P6" i="46" s="1"/>
  <c r="F10" i="36"/>
  <c r="M58" i="36"/>
  <c r="M59" i="36"/>
  <c r="E85" i="42" l="1"/>
  <c r="E86" i="42"/>
  <c r="E87" i="42"/>
  <c r="E84" i="42"/>
  <c r="E83" i="42"/>
  <c r="K93" i="46" l="1"/>
  <c r="K8" i="36" l="1"/>
  <c r="E29" i="36" l="1"/>
  <c r="E28" i="36"/>
  <c r="L6" i="49" l="1"/>
  <c r="F407" i="46" l="1"/>
  <c r="H407" i="46"/>
  <c r="F413" i="46"/>
  <c r="H413" i="46" s="1"/>
  <c r="F18" i="42" l="1"/>
  <c r="F16" i="46" s="1"/>
  <c r="K9" i="36" l="1"/>
  <c r="K10" i="36"/>
  <c r="K11" i="36"/>
  <c r="K12" i="36"/>
  <c r="K13" i="36"/>
  <c r="K14" i="36"/>
  <c r="M9" i="42" l="1"/>
  <c r="M10" i="42"/>
  <c r="M11" i="42"/>
  <c r="M12" i="42"/>
  <c r="M13" i="42"/>
  <c r="M14" i="42"/>
  <c r="L15" i="42"/>
  <c r="M15" i="42"/>
  <c r="J10" i="42"/>
  <c r="J11" i="42"/>
  <c r="J10" i="46" s="1"/>
  <c r="J12" i="42"/>
  <c r="J11" i="46" s="1"/>
  <c r="J13" i="42"/>
  <c r="J12" i="46" s="1"/>
  <c r="J14" i="42"/>
  <c r="J13" i="46" s="1"/>
  <c r="J15" i="42"/>
  <c r="J14" i="46" s="1"/>
  <c r="J9" i="42"/>
  <c r="D47" i="42" s="1"/>
  <c r="F8" i="42"/>
  <c r="F9" i="42"/>
  <c r="F12" i="42"/>
  <c r="F13" i="42"/>
  <c r="F14" i="42"/>
  <c r="F15" i="42"/>
  <c r="F17" i="42"/>
  <c r="F19" i="42"/>
  <c r="F7" i="42"/>
  <c r="D59" i="42"/>
  <c r="D48" i="42" l="1"/>
  <c r="J9" i="46"/>
  <c r="H48" i="42"/>
  <c r="E199" i="46"/>
  <c r="F59" i="42"/>
  <c r="D102" i="46" l="1"/>
  <c r="D177" i="46"/>
  <c r="H66" i="46"/>
  <c r="E66" i="46"/>
  <c r="E67" i="46" s="1"/>
  <c r="G20" i="42"/>
  <c r="C20" i="42"/>
  <c r="E200" i="46" l="1"/>
  <c r="F261" i="46" s="1"/>
  <c r="H6" i="49"/>
  <c r="K11" i="49" s="1"/>
  <c r="H7" i="49"/>
  <c r="K42" i="49" s="1"/>
  <c r="H8" i="49"/>
  <c r="K90" i="49" s="1"/>
  <c r="H9" i="49"/>
  <c r="K193" i="49" s="1"/>
  <c r="H10" i="49"/>
  <c r="K293" i="49" s="1"/>
  <c r="H11" i="49"/>
  <c r="H12" i="49"/>
  <c r="K490" i="49" s="1"/>
  <c r="H13" i="49"/>
  <c r="H14" i="49"/>
  <c r="H15" i="49"/>
  <c r="K790" i="49" s="1"/>
  <c r="H16" i="49"/>
  <c r="K886" i="49" s="1"/>
  <c r="H17" i="49"/>
  <c r="K8" i="49"/>
  <c r="K16" i="49"/>
  <c r="K18" i="49"/>
  <c r="K25" i="49"/>
  <c r="K26" i="49"/>
  <c r="K32" i="49"/>
  <c r="K33" i="49"/>
  <c r="K34" i="49"/>
  <c r="K41" i="49"/>
  <c r="K49" i="49"/>
  <c r="K65" i="49"/>
  <c r="K73" i="49"/>
  <c r="K80" i="49"/>
  <c r="K89" i="49"/>
  <c r="K97" i="49"/>
  <c r="K105" i="49"/>
  <c r="K113" i="49"/>
  <c r="K121" i="49"/>
  <c r="K129" i="49"/>
  <c r="K137" i="49"/>
  <c r="K145" i="49"/>
  <c r="K153" i="49"/>
  <c r="K161" i="49"/>
  <c r="K169" i="49"/>
  <c r="K177" i="49"/>
  <c r="K185" i="49"/>
  <c r="K186" i="49"/>
  <c r="K187" i="49"/>
  <c r="K189" i="49"/>
  <c r="K190" i="49"/>
  <c r="K191" i="49"/>
  <c r="K192" i="49"/>
  <c r="K194" i="49"/>
  <c r="K195" i="49"/>
  <c r="K197" i="49"/>
  <c r="K198" i="49"/>
  <c r="K199" i="49"/>
  <c r="K200" i="49"/>
  <c r="K201" i="49"/>
  <c r="K202" i="49"/>
  <c r="K203" i="49"/>
  <c r="K204" i="49"/>
  <c r="K205" i="49"/>
  <c r="K206" i="49"/>
  <c r="K207" i="49"/>
  <c r="K208" i="49"/>
  <c r="K209" i="49"/>
  <c r="K210" i="49"/>
  <c r="K211" i="49"/>
  <c r="K212" i="49"/>
  <c r="K213" i="49"/>
  <c r="K214" i="49"/>
  <c r="K215" i="49"/>
  <c r="K216" i="49"/>
  <c r="K217" i="49"/>
  <c r="K218" i="49"/>
  <c r="K219" i="49"/>
  <c r="K220" i="49"/>
  <c r="K221" i="49"/>
  <c r="K222" i="49"/>
  <c r="K223" i="49"/>
  <c r="K224" i="49"/>
  <c r="K225" i="49"/>
  <c r="K226" i="49"/>
  <c r="K227" i="49"/>
  <c r="K228" i="49"/>
  <c r="K229" i="49"/>
  <c r="K230" i="49"/>
  <c r="K231" i="49"/>
  <c r="K232" i="49"/>
  <c r="K233" i="49"/>
  <c r="K234" i="49"/>
  <c r="K235" i="49"/>
  <c r="K236" i="49"/>
  <c r="K237" i="49"/>
  <c r="K238" i="49"/>
  <c r="K239" i="49"/>
  <c r="K240" i="49"/>
  <c r="K241" i="49"/>
  <c r="K242" i="49"/>
  <c r="K243" i="49"/>
  <c r="K244" i="49"/>
  <c r="K245" i="49"/>
  <c r="K246" i="49"/>
  <c r="K247" i="49"/>
  <c r="K248" i="49"/>
  <c r="K249" i="49"/>
  <c r="K250" i="49"/>
  <c r="K251" i="49"/>
  <c r="K252" i="49"/>
  <c r="K253" i="49"/>
  <c r="K254" i="49"/>
  <c r="K255" i="49"/>
  <c r="K256" i="49"/>
  <c r="K257" i="49"/>
  <c r="K258" i="49"/>
  <c r="K259" i="49"/>
  <c r="K260" i="49"/>
  <c r="K261" i="49"/>
  <c r="K262" i="49"/>
  <c r="K263" i="49"/>
  <c r="K264" i="49"/>
  <c r="K265" i="49"/>
  <c r="K266" i="49"/>
  <c r="K267" i="49"/>
  <c r="K268" i="49"/>
  <c r="K269" i="49"/>
  <c r="K270" i="49"/>
  <c r="K271" i="49"/>
  <c r="K272" i="49"/>
  <c r="K273" i="49"/>
  <c r="K274" i="49"/>
  <c r="K275" i="49"/>
  <c r="K276" i="49"/>
  <c r="K277" i="49"/>
  <c r="K278" i="49"/>
  <c r="K279" i="49"/>
  <c r="K280" i="49"/>
  <c r="K281" i="49"/>
  <c r="K282" i="49"/>
  <c r="K283" i="49"/>
  <c r="K284" i="49"/>
  <c r="K285" i="49"/>
  <c r="K386" i="49"/>
  <c r="K387" i="49"/>
  <c r="K388" i="49"/>
  <c r="K389" i="49"/>
  <c r="K390" i="49"/>
  <c r="K391" i="49"/>
  <c r="K392" i="49"/>
  <c r="K393" i="49"/>
  <c r="K394" i="49"/>
  <c r="K395" i="49"/>
  <c r="K396" i="49"/>
  <c r="K397" i="49"/>
  <c r="K398" i="49"/>
  <c r="K399" i="49"/>
  <c r="K400" i="49"/>
  <c r="K401" i="49"/>
  <c r="K402" i="49"/>
  <c r="K403" i="49"/>
  <c r="K404" i="49"/>
  <c r="K405" i="49"/>
  <c r="K406" i="49"/>
  <c r="K407" i="49"/>
  <c r="K408" i="49"/>
  <c r="K409" i="49"/>
  <c r="K410" i="49"/>
  <c r="K411" i="49"/>
  <c r="K412" i="49"/>
  <c r="K413" i="49"/>
  <c r="K414" i="49"/>
  <c r="K415" i="49"/>
  <c r="K416" i="49"/>
  <c r="K417" i="49"/>
  <c r="K418" i="49"/>
  <c r="K419" i="49"/>
  <c r="K420" i="49"/>
  <c r="K421" i="49"/>
  <c r="K422" i="49"/>
  <c r="K423" i="49"/>
  <c r="K424" i="49"/>
  <c r="K425" i="49"/>
  <c r="K426" i="49"/>
  <c r="K427" i="49"/>
  <c r="K428" i="49"/>
  <c r="K429" i="49"/>
  <c r="K430" i="49"/>
  <c r="K431" i="49"/>
  <c r="K432" i="49"/>
  <c r="K433" i="49"/>
  <c r="K434" i="49"/>
  <c r="K435" i="49"/>
  <c r="K436" i="49"/>
  <c r="K437" i="49"/>
  <c r="K438" i="49"/>
  <c r="K439" i="49"/>
  <c r="K440" i="49"/>
  <c r="K441" i="49"/>
  <c r="K442" i="49"/>
  <c r="K443" i="49"/>
  <c r="K444" i="49"/>
  <c r="K445" i="49"/>
  <c r="K446" i="49"/>
  <c r="K447" i="49"/>
  <c r="K448" i="49"/>
  <c r="K449" i="49"/>
  <c r="K450" i="49"/>
  <c r="K451" i="49"/>
  <c r="K452" i="49"/>
  <c r="K453" i="49"/>
  <c r="K454" i="49"/>
  <c r="K455" i="49"/>
  <c r="K456" i="49"/>
  <c r="K457" i="49"/>
  <c r="K458" i="49"/>
  <c r="K459" i="49"/>
  <c r="K460" i="49"/>
  <c r="K461" i="49"/>
  <c r="K462" i="49"/>
  <c r="K463" i="49"/>
  <c r="K464" i="49"/>
  <c r="K465" i="49"/>
  <c r="K466" i="49"/>
  <c r="K467" i="49"/>
  <c r="K468" i="49"/>
  <c r="K469" i="49"/>
  <c r="K470" i="49"/>
  <c r="K471" i="49"/>
  <c r="K472" i="49"/>
  <c r="K473" i="49"/>
  <c r="K474" i="49"/>
  <c r="K475" i="49"/>
  <c r="K476" i="49"/>
  <c r="K477" i="49"/>
  <c r="K478" i="49"/>
  <c r="K479" i="49"/>
  <c r="K480" i="49"/>
  <c r="K481" i="49"/>
  <c r="K482" i="49"/>
  <c r="K483" i="49"/>
  <c r="K484" i="49"/>
  <c r="K485" i="49"/>
  <c r="K586" i="49"/>
  <c r="K587" i="49"/>
  <c r="K588" i="49"/>
  <c r="K589" i="49"/>
  <c r="K590" i="49"/>
  <c r="K591" i="49"/>
  <c r="K592" i="49"/>
  <c r="K593" i="49"/>
  <c r="K594" i="49"/>
  <c r="K595" i="49"/>
  <c r="K596" i="49"/>
  <c r="K597" i="49"/>
  <c r="K598" i="49"/>
  <c r="K599" i="49"/>
  <c r="K600" i="49"/>
  <c r="K601" i="49"/>
  <c r="K602" i="49"/>
  <c r="K603" i="49"/>
  <c r="K604" i="49"/>
  <c r="K605" i="49"/>
  <c r="K606" i="49"/>
  <c r="K607" i="49"/>
  <c r="K608" i="49"/>
  <c r="K609" i="49"/>
  <c r="K610" i="49"/>
  <c r="K611" i="49"/>
  <c r="K612" i="49"/>
  <c r="K613" i="49"/>
  <c r="K614" i="49"/>
  <c r="K615" i="49"/>
  <c r="K616" i="49"/>
  <c r="K617" i="49"/>
  <c r="K618" i="49"/>
  <c r="K619" i="49"/>
  <c r="K620" i="49"/>
  <c r="K621" i="49"/>
  <c r="K622" i="49"/>
  <c r="K623" i="49"/>
  <c r="K624" i="49"/>
  <c r="K625" i="49"/>
  <c r="K626" i="49"/>
  <c r="K627" i="49"/>
  <c r="K628" i="49"/>
  <c r="K629" i="49"/>
  <c r="K630" i="49"/>
  <c r="K631" i="49"/>
  <c r="K632" i="49"/>
  <c r="K633" i="49"/>
  <c r="K634" i="49"/>
  <c r="K635" i="49"/>
  <c r="K636" i="49"/>
  <c r="K637" i="49"/>
  <c r="K638" i="49"/>
  <c r="K639" i="49"/>
  <c r="K640" i="49"/>
  <c r="K641" i="49"/>
  <c r="K642" i="49"/>
  <c r="K643" i="49"/>
  <c r="K644" i="49"/>
  <c r="K645" i="49"/>
  <c r="K646" i="49"/>
  <c r="K647" i="49"/>
  <c r="K648" i="49"/>
  <c r="K649" i="49"/>
  <c r="K650" i="49"/>
  <c r="K651" i="49"/>
  <c r="K652" i="49"/>
  <c r="K653" i="49"/>
  <c r="K654" i="49"/>
  <c r="K655" i="49"/>
  <c r="K656" i="49"/>
  <c r="K657" i="49"/>
  <c r="K658" i="49"/>
  <c r="K659" i="49"/>
  <c r="K660" i="49"/>
  <c r="K661" i="49"/>
  <c r="K662" i="49"/>
  <c r="K663" i="49"/>
  <c r="K664" i="49"/>
  <c r="K665" i="49"/>
  <c r="K666" i="49"/>
  <c r="K667" i="49"/>
  <c r="K668" i="49"/>
  <c r="K669" i="49"/>
  <c r="K670" i="49"/>
  <c r="K671" i="49"/>
  <c r="K672" i="49"/>
  <c r="K673" i="49"/>
  <c r="K674" i="49"/>
  <c r="K675" i="49"/>
  <c r="K676" i="49"/>
  <c r="K677" i="49"/>
  <c r="K678" i="49"/>
  <c r="K679" i="49"/>
  <c r="K680" i="49"/>
  <c r="K681" i="49"/>
  <c r="K682" i="49"/>
  <c r="K683" i="49"/>
  <c r="K684" i="49"/>
  <c r="K685" i="49"/>
  <c r="K686" i="49"/>
  <c r="K687" i="49"/>
  <c r="K688" i="49"/>
  <c r="K689" i="49"/>
  <c r="K690" i="49"/>
  <c r="K691" i="49"/>
  <c r="K692" i="49"/>
  <c r="K693" i="49"/>
  <c r="K694" i="49"/>
  <c r="K695" i="49"/>
  <c r="K696" i="49"/>
  <c r="K697" i="49"/>
  <c r="K698" i="49"/>
  <c r="K699" i="49"/>
  <c r="K700" i="49"/>
  <c r="K701" i="49"/>
  <c r="K702" i="49"/>
  <c r="K703" i="49"/>
  <c r="K704" i="49"/>
  <c r="K705" i="49"/>
  <c r="K706" i="49"/>
  <c r="K707" i="49"/>
  <c r="K708" i="49"/>
  <c r="K709" i="49"/>
  <c r="K710" i="49"/>
  <c r="K711" i="49"/>
  <c r="K712" i="49"/>
  <c r="K713" i="49"/>
  <c r="K714" i="49"/>
  <c r="K715" i="49"/>
  <c r="K716" i="49"/>
  <c r="K717" i="49"/>
  <c r="K718" i="49"/>
  <c r="K719" i="49"/>
  <c r="K720" i="49"/>
  <c r="K721" i="49"/>
  <c r="K722" i="49"/>
  <c r="K723" i="49"/>
  <c r="K724" i="49"/>
  <c r="K725" i="49"/>
  <c r="K726" i="49"/>
  <c r="K727" i="49"/>
  <c r="K728" i="49"/>
  <c r="K729" i="49"/>
  <c r="K730" i="49"/>
  <c r="K731" i="49"/>
  <c r="K732" i="49"/>
  <c r="K733" i="49"/>
  <c r="K734" i="49"/>
  <c r="K735" i="49"/>
  <c r="K736" i="49"/>
  <c r="K737" i="49"/>
  <c r="K738" i="49"/>
  <c r="K739" i="49"/>
  <c r="K740" i="49"/>
  <c r="K741" i="49"/>
  <c r="K742" i="49"/>
  <c r="K743" i="49"/>
  <c r="K744" i="49"/>
  <c r="K745" i="49"/>
  <c r="K746" i="49"/>
  <c r="K747" i="49"/>
  <c r="K748" i="49"/>
  <c r="K749" i="49"/>
  <c r="K750" i="49"/>
  <c r="K751" i="49"/>
  <c r="K752" i="49"/>
  <c r="K753" i="49"/>
  <c r="K754" i="49"/>
  <c r="K755" i="49"/>
  <c r="K756" i="49"/>
  <c r="K757" i="49"/>
  <c r="K758" i="49"/>
  <c r="K759" i="49"/>
  <c r="K760" i="49"/>
  <c r="K761" i="49"/>
  <c r="K762" i="49"/>
  <c r="K763" i="49"/>
  <c r="K764" i="49"/>
  <c r="K765" i="49"/>
  <c r="K766" i="49"/>
  <c r="K767" i="49"/>
  <c r="K768" i="49"/>
  <c r="K769" i="49"/>
  <c r="K770" i="49"/>
  <c r="K771" i="49"/>
  <c r="K772" i="49"/>
  <c r="K773" i="49"/>
  <c r="K774" i="49"/>
  <c r="K775" i="49"/>
  <c r="K776" i="49"/>
  <c r="K777" i="49"/>
  <c r="K778" i="49"/>
  <c r="K779" i="49"/>
  <c r="K780" i="49"/>
  <c r="K781" i="49"/>
  <c r="K782" i="49"/>
  <c r="K783" i="49"/>
  <c r="K784" i="49"/>
  <c r="K785" i="49"/>
  <c r="K788" i="49"/>
  <c r="K789" i="49"/>
  <c r="K796" i="49"/>
  <c r="K797" i="49"/>
  <c r="K804" i="49"/>
  <c r="K805" i="49"/>
  <c r="K812" i="49"/>
  <c r="K813" i="49"/>
  <c r="K820" i="49"/>
  <c r="K821" i="49"/>
  <c r="K828" i="49"/>
  <c r="K829" i="49"/>
  <c r="K836" i="49"/>
  <c r="K837" i="49"/>
  <c r="K844" i="49"/>
  <c r="K845" i="49"/>
  <c r="K852" i="49"/>
  <c r="K853" i="49"/>
  <c r="K860" i="49"/>
  <c r="K861" i="49"/>
  <c r="K868" i="49"/>
  <c r="K869" i="49"/>
  <c r="K876" i="49"/>
  <c r="K877" i="49"/>
  <c r="K884" i="49"/>
  <c r="K885" i="49"/>
  <c r="K901" i="49"/>
  <c r="K933" i="49"/>
  <c r="K965" i="49"/>
  <c r="K986" i="49"/>
  <c r="K6" i="49"/>
  <c r="K973" i="49" l="1"/>
  <c r="K941" i="49"/>
  <c r="K909" i="49"/>
  <c r="K957" i="49"/>
  <c r="K925" i="49"/>
  <c r="K893" i="49"/>
  <c r="K981" i="49"/>
  <c r="K949" i="49"/>
  <c r="K917" i="49"/>
  <c r="K14" i="49"/>
  <c r="K331" i="49"/>
  <c r="K339" i="49"/>
  <c r="K196" i="49"/>
  <c r="K188" i="49"/>
  <c r="K81" i="49"/>
  <c r="K40" i="49"/>
  <c r="K323" i="49"/>
  <c r="K379" i="49"/>
  <c r="K315" i="49"/>
  <c r="K72" i="49"/>
  <c r="K371" i="49"/>
  <c r="K307" i="49"/>
  <c r="K363" i="49"/>
  <c r="K299" i="49"/>
  <c r="K57" i="49"/>
  <c r="K355" i="49"/>
  <c r="K291" i="49"/>
  <c r="K347" i="49"/>
  <c r="K380" i="49"/>
  <c r="K372" i="49"/>
  <c r="K364" i="49"/>
  <c r="K356" i="49"/>
  <c r="K348" i="49"/>
  <c r="K340" i="49"/>
  <c r="K332" i="49"/>
  <c r="K324" i="49"/>
  <c r="K316" i="49"/>
  <c r="K308" i="49"/>
  <c r="K300" i="49"/>
  <c r="K292" i="49"/>
  <c r="K378" i="49"/>
  <c r="K370" i="49"/>
  <c r="K362" i="49"/>
  <c r="K354" i="49"/>
  <c r="K346" i="49"/>
  <c r="K338" i="49"/>
  <c r="K330" i="49"/>
  <c r="K322" i="49"/>
  <c r="K314" i="49"/>
  <c r="K306" i="49"/>
  <c r="K298" i="49"/>
  <c r="K290" i="49"/>
  <c r="K385" i="49"/>
  <c r="K377" i="49"/>
  <c r="K369" i="49"/>
  <c r="K361" i="49"/>
  <c r="K353" i="49"/>
  <c r="K345" i="49"/>
  <c r="K337" i="49"/>
  <c r="K329" i="49"/>
  <c r="K321" i="49"/>
  <c r="K313" i="49"/>
  <c r="K305" i="49"/>
  <c r="K297" i="49"/>
  <c r="K289" i="49"/>
  <c r="K384" i="49"/>
  <c r="K376" i="49"/>
  <c r="K368" i="49"/>
  <c r="K360" i="49"/>
  <c r="K352" i="49"/>
  <c r="K344" i="49"/>
  <c r="K336" i="49"/>
  <c r="K328" i="49"/>
  <c r="K320" i="49"/>
  <c r="K312" i="49"/>
  <c r="K304" i="49"/>
  <c r="K296" i="49"/>
  <c r="K288" i="49"/>
  <c r="K383" i="49"/>
  <c r="K375" i="49"/>
  <c r="K367" i="49"/>
  <c r="K359" i="49"/>
  <c r="K351" i="49"/>
  <c r="K343" i="49"/>
  <c r="K335" i="49"/>
  <c r="K327" i="49"/>
  <c r="K319" i="49"/>
  <c r="K311" i="49"/>
  <c r="K303" i="49"/>
  <c r="K295" i="49"/>
  <c r="K287" i="49"/>
  <c r="K382" i="49"/>
  <c r="K374" i="49"/>
  <c r="K366" i="49"/>
  <c r="K358" i="49"/>
  <c r="K350" i="49"/>
  <c r="K342" i="49"/>
  <c r="K334" i="49"/>
  <c r="K326" i="49"/>
  <c r="K318" i="49"/>
  <c r="K310" i="49"/>
  <c r="K302" i="49"/>
  <c r="K294" i="49"/>
  <c r="K286" i="49"/>
  <c r="K381" i="49"/>
  <c r="K373" i="49"/>
  <c r="K365" i="49"/>
  <c r="K357" i="49"/>
  <c r="K349" i="49"/>
  <c r="K341" i="49"/>
  <c r="K333" i="49"/>
  <c r="K325" i="49"/>
  <c r="K317" i="49"/>
  <c r="K309" i="49"/>
  <c r="K301" i="49"/>
  <c r="K932" i="49"/>
  <c r="K184" i="49"/>
  <c r="K152" i="49"/>
  <c r="K112" i="49"/>
  <c r="K56" i="49"/>
  <c r="K979" i="49"/>
  <c r="K971" i="49"/>
  <c r="K963" i="49"/>
  <c r="K955" i="49"/>
  <c r="K947" i="49"/>
  <c r="K939" i="49"/>
  <c r="K931" i="49"/>
  <c r="K923" i="49"/>
  <c r="K915" i="49"/>
  <c r="K907" i="49"/>
  <c r="K899" i="49"/>
  <c r="K891" i="49"/>
  <c r="K883" i="49"/>
  <c r="K875" i="49"/>
  <c r="K867" i="49"/>
  <c r="K859" i="49"/>
  <c r="K851" i="49"/>
  <c r="K843" i="49"/>
  <c r="K835" i="49"/>
  <c r="K827" i="49"/>
  <c r="K819" i="49"/>
  <c r="K811" i="49"/>
  <c r="K803" i="49"/>
  <c r="K795" i="49"/>
  <c r="K787" i="49"/>
  <c r="K183" i="49"/>
  <c r="K175" i="49"/>
  <c r="K167" i="49"/>
  <c r="K159" i="49"/>
  <c r="K151" i="49"/>
  <c r="K143" i="49"/>
  <c r="K135" i="49"/>
  <c r="K127" i="49"/>
  <c r="K119" i="49"/>
  <c r="K111" i="49"/>
  <c r="K103" i="49"/>
  <c r="K95" i="49"/>
  <c r="K87" i="49"/>
  <c r="K79" i="49"/>
  <c r="K71" i="49"/>
  <c r="K63" i="49"/>
  <c r="K55" i="49"/>
  <c r="K47" i="49"/>
  <c r="K39" i="49"/>
  <c r="K948" i="49"/>
  <c r="K900" i="49"/>
  <c r="K144" i="49"/>
  <c r="K104" i="49"/>
  <c r="K978" i="49"/>
  <c r="K946" i="49"/>
  <c r="K914" i="49"/>
  <c r="K906" i="49"/>
  <c r="K898" i="49"/>
  <c r="K890" i="49"/>
  <c r="K882" i="49"/>
  <c r="K874" i="49"/>
  <c r="K866" i="49"/>
  <c r="K858" i="49"/>
  <c r="K850" i="49"/>
  <c r="K842" i="49"/>
  <c r="K834" i="49"/>
  <c r="K826" i="49"/>
  <c r="K818" i="49"/>
  <c r="K810" i="49"/>
  <c r="K802" i="49"/>
  <c r="K794" i="49"/>
  <c r="K786" i="49"/>
  <c r="K182" i="49"/>
  <c r="K174" i="49"/>
  <c r="K166" i="49"/>
  <c r="K158" i="49"/>
  <c r="K150" i="49"/>
  <c r="K142" i="49"/>
  <c r="K134" i="49"/>
  <c r="K126" i="49"/>
  <c r="K118" i="49"/>
  <c r="K110" i="49"/>
  <c r="K102" i="49"/>
  <c r="K94" i="49"/>
  <c r="K86" i="49"/>
  <c r="K78" i="49"/>
  <c r="K70" i="49"/>
  <c r="K62" i="49"/>
  <c r="K54" i="49"/>
  <c r="K46" i="49"/>
  <c r="K38" i="49"/>
  <c r="K964" i="49"/>
  <c r="K924" i="49"/>
  <c r="K176" i="49"/>
  <c r="K136" i="49"/>
  <c r="K88" i="49"/>
  <c r="K962" i="49"/>
  <c r="K938" i="49"/>
  <c r="K985" i="49"/>
  <c r="K977" i="49"/>
  <c r="K969" i="49"/>
  <c r="K961" i="49"/>
  <c r="K953" i="49"/>
  <c r="K945" i="49"/>
  <c r="K937" i="49"/>
  <c r="K929" i="49"/>
  <c r="K921" i="49"/>
  <c r="K913" i="49"/>
  <c r="K905" i="49"/>
  <c r="K897" i="49"/>
  <c r="K889" i="49"/>
  <c r="K881" i="49"/>
  <c r="K873" i="49"/>
  <c r="K865" i="49"/>
  <c r="K857" i="49"/>
  <c r="K849" i="49"/>
  <c r="K841" i="49"/>
  <c r="K833" i="49"/>
  <c r="K825" i="49"/>
  <c r="K817" i="49"/>
  <c r="K809" i="49"/>
  <c r="K801" i="49"/>
  <c r="K793" i="49"/>
  <c r="K181" i="49"/>
  <c r="K173" i="49"/>
  <c r="K165" i="49"/>
  <c r="K157" i="49"/>
  <c r="K149" i="49"/>
  <c r="K141" i="49"/>
  <c r="K133" i="49"/>
  <c r="K125" i="49"/>
  <c r="K117" i="49"/>
  <c r="K109" i="49"/>
  <c r="K101" i="49"/>
  <c r="K93" i="49"/>
  <c r="K85" i="49"/>
  <c r="K77" i="49"/>
  <c r="K69" i="49"/>
  <c r="K61" i="49"/>
  <c r="K53" i="49"/>
  <c r="K45" i="49"/>
  <c r="K37" i="49"/>
  <c r="K956" i="49"/>
  <c r="K908" i="49"/>
  <c r="K160" i="49"/>
  <c r="K120" i="49"/>
  <c r="K954" i="49"/>
  <c r="K930" i="49"/>
  <c r="K984" i="49"/>
  <c r="K976" i="49"/>
  <c r="K968" i="49"/>
  <c r="K960" i="49"/>
  <c r="K952" i="49"/>
  <c r="K944" i="49"/>
  <c r="K936" i="49"/>
  <c r="K928" i="49"/>
  <c r="K920" i="49"/>
  <c r="K912" i="49"/>
  <c r="K904" i="49"/>
  <c r="K896" i="49"/>
  <c r="K888" i="49"/>
  <c r="K880" i="49"/>
  <c r="K872" i="49"/>
  <c r="K864" i="49"/>
  <c r="K856" i="49"/>
  <c r="K848" i="49"/>
  <c r="K840" i="49"/>
  <c r="K832" i="49"/>
  <c r="K824" i="49"/>
  <c r="K816" i="49"/>
  <c r="K808" i="49"/>
  <c r="K800" i="49"/>
  <c r="K792" i="49"/>
  <c r="K180" i="49"/>
  <c r="K172" i="49"/>
  <c r="K164" i="49"/>
  <c r="K156" i="49"/>
  <c r="K148" i="49"/>
  <c r="K140" i="49"/>
  <c r="K132" i="49"/>
  <c r="K124" i="49"/>
  <c r="K116" i="49"/>
  <c r="K108" i="49"/>
  <c r="K100" i="49"/>
  <c r="K92" i="49"/>
  <c r="K84" i="49"/>
  <c r="K76" i="49"/>
  <c r="K68" i="49"/>
  <c r="K60" i="49"/>
  <c r="K52" i="49"/>
  <c r="K44" i="49"/>
  <c r="K36" i="49"/>
  <c r="K980" i="49"/>
  <c r="K916" i="49"/>
  <c r="K168" i="49"/>
  <c r="K128" i="49"/>
  <c r="K96" i="49"/>
  <c r="K64" i="49"/>
  <c r="K48" i="49"/>
  <c r="K970" i="49"/>
  <c r="K922" i="49"/>
  <c r="K983" i="49"/>
  <c r="K975" i="49"/>
  <c r="K967" i="49"/>
  <c r="K959" i="49"/>
  <c r="K951" i="49"/>
  <c r="K943" i="49"/>
  <c r="K935" i="49"/>
  <c r="K927" i="49"/>
  <c r="K919" i="49"/>
  <c r="K911" i="49"/>
  <c r="K903" i="49"/>
  <c r="K895" i="49"/>
  <c r="K887" i="49"/>
  <c r="K879" i="49"/>
  <c r="K871" i="49"/>
  <c r="K863" i="49"/>
  <c r="K855" i="49"/>
  <c r="K847" i="49"/>
  <c r="K839" i="49"/>
  <c r="K831" i="49"/>
  <c r="K823" i="49"/>
  <c r="K815" i="49"/>
  <c r="K807" i="49"/>
  <c r="K799" i="49"/>
  <c r="K791" i="49"/>
  <c r="K179" i="49"/>
  <c r="K171" i="49"/>
  <c r="K163" i="49"/>
  <c r="K155" i="49"/>
  <c r="K147" i="49"/>
  <c r="K139" i="49"/>
  <c r="K131" i="49"/>
  <c r="K123" i="49"/>
  <c r="K115" i="49"/>
  <c r="K107" i="49"/>
  <c r="K99" i="49"/>
  <c r="K91" i="49"/>
  <c r="K83" i="49"/>
  <c r="K75" i="49"/>
  <c r="K67" i="49"/>
  <c r="K59" i="49"/>
  <c r="K51" i="49"/>
  <c r="K43" i="49"/>
  <c r="K972" i="49"/>
  <c r="K940" i="49"/>
  <c r="K892" i="49"/>
  <c r="K982" i="49"/>
  <c r="K974" i="49"/>
  <c r="K966" i="49"/>
  <c r="K958" i="49"/>
  <c r="K950" i="49"/>
  <c r="K942" i="49"/>
  <c r="K934" i="49"/>
  <c r="K926" i="49"/>
  <c r="K918" i="49"/>
  <c r="K910" i="49"/>
  <c r="K902" i="49"/>
  <c r="K894" i="49"/>
  <c r="K878" i="49"/>
  <c r="K870" i="49"/>
  <c r="K862" i="49"/>
  <c r="K854" i="49"/>
  <c r="K846" i="49"/>
  <c r="K838" i="49"/>
  <c r="K830" i="49"/>
  <c r="K822" i="49"/>
  <c r="K814" i="49"/>
  <c r="K806" i="49"/>
  <c r="K798" i="49"/>
  <c r="K178" i="49"/>
  <c r="K170" i="49"/>
  <c r="K162" i="49"/>
  <c r="K154" i="49"/>
  <c r="K146" i="49"/>
  <c r="K138" i="49"/>
  <c r="K130" i="49"/>
  <c r="K122" i="49"/>
  <c r="K114" i="49"/>
  <c r="K106" i="49"/>
  <c r="K98" i="49"/>
  <c r="K82" i="49"/>
  <c r="K74" i="49"/>
  <c r="K66" i="49"/>
  <c r="K58" i="49"/>
  <c r="K50" i="49"/>
  <c r="K30" i="49"/>
  <c r="K10" i="49"/>
  <c r="K568" i="49"/>
  <c r="K504" i="49"/>
  <c r="K24" i="49"/>
  <c r="K22" i="49"/>
  <c r="K576" i="49"/>
  <c r="K512" i="49"/>
  <c r="K560" i="49"/>
  <c r="K496" i="49"/>
  <c r="K552" i="49"/>
  <c r="K488" i="49"/>
  <c r="K544" i="49"/>
  <c r="K536" i="49"/>
  <c r="K528" i="49"/>
  <c r="K584" i="49"/>
  <c r="K520" i="49"/>
  <c r="K585" i="49"/>
  <c r="K577" i="49"/>
  <c r="K569" i="49"/>
  <c r="K561" i="49"/>
  <c r="K553" i="49"/>
  <c r="K545" i="49"/>
  <c r="K537" i="49"/>
  <c r="K529" i="49"/>
  <c r="K521" i="49"/>
  <c r="K513" i="49"/>
  <c r="K505" i="49"/>
  <c r="K497" i="49"/>
  <c r="K489" i="49"/>
  <c r="K17" i="49"/>
  <c r="K9" i="49"/>
  <c r="K583" i="49"/>
  <c r="K575" i="49"/>
  <c r="K567" i="49"/>
  <c r="K559" i="49"/>
  <c r="K551" i="49"/>
  <c r="K543" i="49"/>
  <c r="K535" i="49"/>
  <c r="K527" i="49"/>
  <c r="K519" i="49"/>
  <c r="K511" i="49"/>
  <c r="K503" i="49"/>
  <c r="K495" i="49"/>
  <c r="K487" i="49"/>
  <c r="K31" i="49"/>
  <c r="K23" i="49"/>
  <c r="K15" i="49"/>
  <c r="K7" i="49"/>
  <c r="L7" i="49" s="1"/>
  <c r="L8" i="49" s="1"/>
  <c r="K582" i="49"/>
  <c r="K574" i="49"/>
  <c r="K566" i="49"/>
  <c r="K558" i="49"/>
  <c r="K550" i="49"/>
  <c r="K542" i="49"/>
  <c r="K534" i="49"/>
  <c r="K526" i="49"/>
  <c r="K518" i="49"/>
  <c r="K510" i="49"/>
  <c r="K502" i="49"/>
  <c r="K494" i="49"/>
  <c r="K486" i="49"/>
  <c r="K581" i="49"/>
  <c r="K573" i="49"/>
  <c r="K565" i="49"/>
  <c r="K557" i="49"/>
  <c r="K549" i="49"/>
  <c r="K541" i="49"/>
  <c r="K533" i="49"/>
  <c r="K525" i="49"/>
  <c r="K517" i="49"/>
  <c r="K509" i="49"/>
  <c r="K501" i="49"/>
  <c r="K493" i="49"/>
  <c r="K29" i="49"/>
  <c r="K21" i="49"/>
  <c r="K13" i="49"/>
  <c r="K580" i="49"/>
  <c r="K572" i="49"/>
  <c r="K564" i="49"/>
  <c r="K556" i="49"/>
  <c r="K548" i="49"/>
  <c r="K540" i="49"/>
  <c r="K532" i="49"/>
  <c r="K524" i="49"/>
  <c r="K516" i="49"/>
  <c r="K508" i="49"/>
  <c r="K500" i="49"/>
  <c r="K492" i="49"/>
  <c r="K28" i="49"/>
  <c r="K20" i="49"/>
  <c r="K12" i="49"/>
  <c r="K579" i="49"/>
  <c r="K571" i="49"/>
  <c r="K563" i="49"/>
  <c r="K555" i="49"/>
  <c r="K547" i="49"/>
  <c r="K539" i="49"/>
  <c r="K531" i="49"/>
  <c r="K523" i="49"/>
  <c r="K515" i="49"/>
  <c r="K507" i="49"/>
  <c r="K499" i="49"/>
  <c r="K491" i="49"/>
  <c r="K35" i="49"/>
  <c r="K27" i="49"/>
  <c r="K19" i="49"/>
  <c r="K578" i="49"/>
  <c r="K570" i="49"/>
  <c r="K562" i="49"/>
  <c r="K554" i="49"/>
  <c r="K546" i="49"/>
  <c r="K538" i="49"/>
  <c r="K530" i="49"/>
  <c r="K522" i="49"/>
  <c r="K514" i="49"/>
  <c r="K506" i="49"/>
  <c r="K498" i="49"/>
  <c r="L9" i="49" l="1"/>
  <c r="L10" i="49" s="1"/>
  <c r="L11" i="49" s="1"/>
  <c r="L12" i="49" s="1"/>
  <c r="L13" i="49" s="1"/>
  <c r="L14" i="49" s="1"/>
  <c r="L15" i="49" s="1"/>
  <c r="L16" i="49" s="1"/>
  <c r="L17" i="49" s="1"/>
  <c r="L18" i="49" s="1"/>
  <c r="L19" i="49" s="1"/>
  <c r="L20" i="49" s="1"/>
  <c r="L21" i="49" s="1"/>
  <c r="L22" i="49" s="1"/>
  <c r="L23" i="49" s="1"/>
  <c r="L24" i="49" s="1"/>
  <c r="L25" i="49" s="1"/>
  <c r="L26" i="49" s="1"/>
  <c r="L27" i="49" s="1"/>
  <c r="L28" i="49" s="1"/>
  <c r="L29" i="49" s="1"/>
  <c r="L30" i="49" s="1"/>
  <c r="L31" i="49" s="1"/>
  <c r="L32" i="49" s="1"/>
  <c r="L33" i="49" s="1"/>
  <c r="L34" i="49" s="1"/>
  <c r="L35" i="49" s="1"/>
  <c r="L37" i="49" s="1"/>
  <c r="L38" i="49" s="1"/>
  <c r="L39" i="49" s="1"/>
  <c r="L40" i="49" s="1"/>
  <c r="L41" i="49" s="1"/>
  <c r="L42" i="49" s="1"/>
  <c r="L43" i="49" s="1"/>
  <c r="L44" i="49" s="1"/>
  <c r="L45" i="49" s="1"/>
  <c r="L46" i="49" s="1"/>
  <c r="L47" i="49" s="1"/>
  <c r="L48" i="49" s="1"/>
  <c r="L49" i="49" s="1"/>
  <c r="L50" i="49" s="1"/>
  <c r="L51" i="49" s="1"/>
  <c r="L52" i="49" s="1"/>
  <c r="L53" i="49" s="1"/>
  <c r="L54" i="49" s="1"/>
  <c r="L55" i="49" s="1"/>
  <c r="L56" i="49" s="1"/>
  <c r="L57" i="49" s="1"/>
  <c r="L58" i="49" s="1"/>
  <c r="L59" i="49" s="1"/>
  <c r="L60" i="49" s="1"/>
  <c r="L61" i="49" s="1"/>
  <c r="L62" i="49" s="1"/>
  <c r="L63" i="49" s="1"/>
  <c r="L64" i="49" s="1"/>
  <c r="L65" i="49" s="1"/>
  <c r="L66" i="49" s="1"/>
  <c r="L67" i="49" s="1"/>
  <c r="L68" i="49" s="1"/>
  <c r="L69" i="49" s="1"/>
  <c r="L70" i="49" s="1"/>
  <c r="L71" i="49" s="1"/>
  <c r="L72" i="49" s="1"/>
  <c r="L73" i="49" s="1"/>
  <c r="L74" i="49" s="1"/>
  <c r="L75" i="49" s="1"/>
  <c r="L76" i="49" s="1"/>
  <c r="L77" i="49" s="1"/>
  <c r="L78" i="49" s="1"/>
  <c r="L79" i="49" s="1"/>
  <c r="L80" i="49" s="1"/>
  <c r="L81" i="49" s="1"/>
  <c r="L82" i="49" s="1"/>
  <c r="L83" i="49" s="1"/>
  <c r="L84" i="49" s="1"/>
  <c r="L85" i="49" s="1"/>
  <c r="L87" i="49" s="1"/>
  <c r="L88" i="49" s="1"/>
  <c r="L89" i="49" s="1"/>
  <c r="L90" i="49" s="1"/>
  <c r="L91" i="49" s="1"/>
  <c r="L92" i="49" s="1"/>
  <c r="L93" i="49" s="1"/>
  <c r="L94" i="49" s="1"/>
  <c r="L95" i="49" s="1"/>
  <c r="L96" i="49" s="1"/>
  <c r="L97" i="49" s="1"/>
  <c r="L98" i="49" s="1"/>
  <c r="L99" i="49" s="1"/>
  <c r="L100" i="49" s="1"/>
  <c r="L101" i="49" s="1"/>
  <c r="L102" i="49" s="1"/>
  <c r="L103" i="49" s="1"/>
  <c r="L104" i="49" s="1"/>
  <c r="L105" i="49" s="1"/>
  <c r="L106" i="49" s="1"/>
  <c r="L107" i="49" s="1"/>
  <c r="L108" i="49" s="1"/>
  <c r="L109" i="49" s="1"/>
  <c r="L110" i="49" s="1"/>
  <c r="L111" i="49" s="1"/>
  <c r="L112" i="49" s="1"/>
  <c r="L113" i="49" s="1"/>
  <c r="L114" i="49" s="1"/>
  <c r="L115" i="49" s="1"/>
  <c r="L116" i="49" s="1"/>
  <c r="L117" i="49" s="1"/>
  <c r="L118" i="49" s="1"/>
  <c r="L119" i="49" s="1"/>
  <c r="L120" i="49" s="1"/>
  <c r="L121" i="49" s="1"/>
  <c r="L122" i="49" s="1"/>
  <c r="L123" i="49" s="1"/>
  <c r="L124" i="49" s="1"/>
  <c r="L125" i="49" s="1"/>
  <c r="L126" i="49" s="1"/>
  <c r="L127" i="49" s="1"/>
  <c r="L128" i="49" s="1"/>
  <c r="L129" i="49" s="1"/>
  <c r="L130" i="49" s="1"/>
  <c r="L131" i="49" s="1"/>
  <c r="L132" i="49" s="1"/>
  <c r="L133" i="49" s="1"/>
  <c r="L134" i="49" s="1"/>
  <c r="L135" i="49" s="1"/>
  <c r="L136" i="49" s="1"/>
  <c r="L137" i="49" s="1"/>
  <c r="L138" i="49" s="1"/>
  <c r="L139" i="49" s="1"/>
  <c r="L140" i="49" s="1"/>
  <c r="L141" i="49" s="1"/>
  <c r="L142" i="49" s="1"/>
  <c r="L143" i="49" s="1"/>
  <c r="L144" i="49" s="1"/>
  <c r="L145" i="49" s="1"/>
  <c r="L146" i="49" s="1"/>
  <c r="L147" i="49" s="1"/>
  <c r="L148" i="49" s="1"/>
  <c r="L149" i="49" s="1"/>
  <c r="L150" i="49" s="1"/>
  <c r="L151" i="49" s="1"/>
  <c r="L152" i="49" s="1"/>
  <c r="L153" i="49" s="1"/>
  <c r="L154" i="49" s="1"/>
  <c r="L155" i="49" s="1"/>
  <c r="L156" i="49" s="1"/>
  <c r="L157" i="49" s="1"/>
  <c r="L158" i="49" s="1"/>
  <c r="L159" i="49" s="1"/>
  <c r="L160" i="49" s="1"/>
  <c r="L161" i="49" s="1"/>
  <c r="L162" i="49" s="1"/>
  <c r="L163" i="49" s="1"/>
  <c r="L164" i="49" s="1"/>
  <c r="L165" i="49" s="1"/>
  <c r="L166" i="49" s="1"/>
  <c r="L167" i="49" s="1"/>
  <c r="L168" i="49" s="1"/>
  <c r="L169" i="49" s="1"/>
  <c r="L170" i="49" s="1"/>
  <c r="L171" i="49" s="1"/>
  <c r="L172" i="49" s="1"/>
  <c r="L173" i="49" s="1"/>
  <c r="L174" i="49" s="1"/>
  <c r="L175" i="49" s="1"/>
  <c r="L176" i="49" s="1"/>
  <c r="L177" i="49" s="1"/>
  <c r="L178" i="49" s="1"/>
  <c r="L179" i="49" s="1"/>
  <c r="L180" i="49" s="1"/>
  <c r="L181" i="49" s="1"/>
  <c r="L182" i="49" s="1"/>
  <c r="L183" i="49" s="1"/>
  <c r="L184" i="49" s="1"/>
  <c r="L185" i="49" s="1"/>
  <c r="L187" i="49" s="1"/>
  <c r="L188" i="49" s="1"/>
  <c r="L189" i="49" s="1"/>
  <c r="L190" i="49" s="1"/>
  <c r="L191" i="49" s="1"/>
  <c r="L192" i="49" s="1"/>
  <c r="L193" i="49" s="1"/>
  <c r="L194" i="49" s="1"/>
  <c r="L195" i="49" s="1"/>
  <c r="L196" i="49" s="1"/>
  <c r="L197" i="49" s="1"/>
  <c r="L198" i="49" s="1"/>
  <c r="L199" i="49" s="1"/>
  <c r="L200" i="49" s="1"/>
  <c r="L201" i="49" s="1"/>
  <c r="L202" i="49" s="1"/>
  <c r="L203" i="49" s="1"/>
  <c r="L204" i="49" s="1"/>
  <c r="L205" i="49" s="1"/>
  <c r="L206" i="49" s="1"/>
  <c r="L207" i="49" s="1"/>
  <c r="L208" i="49" s="1"/>
  <c r="L209" i="49" s="1"/>
  <c r="L210" i="49" s="1"/>
  <c r="L211" i="49" s="1"/>
  <c r="L212" i="49" s="1"/>
  <c r="L213" i="49" s="1"/>
  <c r="L214" i="49" s="1"/>
  <c r="L215" i="49" s="1"/>
  <c r="L216" i="49" s="1"/>
  <c r="L217" i="49" s="1"/>
  <c r="L218" i="49" s="1"/>
  <c r="L219" i="49" s="1"/>
  <c r="L220" i="49" s="1"/>
  <c r="L221" i="49" s="1"/>
  <c r="L222" i="49" s="1"/>
  <c r="L223" i="49" s="1"/>
  <c r="L224" i="49" s="1"/>
  <c r="L225" i="49" s="1"/>
  <c r="L226" i="49" s="1"/>
  <c r="L227" i="49" s="1"/>
  <c r="L228" i="49" s="1"/>
  <c r="L229" i="49" s="1"/>
  <c r="L230" i="49" s="1"/>
  <c r="L231" i="49" s="1"/>
  <c r="L232" i="49" s="1"/>
  <c r="L233" i="49" s="1"/>
  <c r="L234" i="49" s="1"/>
  <c r="L235" i="49" s="1"/>
  <c r="L236" i="49" s="1"/>
  <c r="L237" i="49" s="1"/>
  <c r="L238" i="49" s="1"/>
  <c r="L239" i="49" s="1"/>
  <c r="L240" i="49" s="1"/>
  <c r="L241" i="49" s="1"/>
  <c r="L242" i="49" s="1"/>
  <c r="L243" i="49" s="1"/>
  <c r="L244" i="49" s="1"/>
  <c r="L245" i="49" s="1"/>
  <c r="L246" i="49" s="1"/>
  <c r="L247" i="49" s="1"/>
  <c r="L248" i="49" s="1"/>
  <c r="L249" i="49" s="1"/>
  <c r="L250" i="49" s="1"/>
  <c r="L251" i="49" s="1"/>
  <c r="L252" i="49" s="1"/>
  <c r="L253" i="49" s="1"/>
  <c r="L254" i="49" s="1"/>
  <c r="L255" i="49" s="1"/>
  <c r="L256" i="49" s="1"/>
  <c r="L257" i="49" s="1"/>
  <c r="L258" i="49" s="1"/>
  <c r="L259" i="49" s="1"/>
  <c r="L260" i="49" s="1"/>
  <c r="L261" i="49" s="1"/>
  <c r="L262" i="49" s="1"/>
  <c r="L263" i="49" s="1"/>
  <c r="L264" i="49" s="1"/>
  <c r="L265" i="49" s="1"/>
  <c r="L266" i="49" s="1"/>
  <c r="L267" i="49" s="1"/>
  <c r="L268" i="49" s="1"/>
  <c r="L269" i="49" s="1"/>
  <c r="L270" i="49" s="1"/>
  <c r="L271" i="49" s="1"/>
  <c r="L272" i="49" s="1"/>
  <c r="L273" i="49" s="1"/>
  <c r="L274" i="49" s="1"/>
  <c r="L275" i="49" s="1"/>
  <c r="L276" i="49" s="1"/>
  <c r="L277" i="49" s="1"/>
  <c r="L278" i="49" s="1"/>
  <c r="L279" i="49" s="1"/>
  <c r="L280" i="49" s="1"/>
  <c r="L281" i="49" s="1"/>
  <c r="L282" i="49" s="1"/>
  <c r="L283" i="49" s="1"/>
  <c r="L284" i="49" s="1"/>
  <c r="L285" i="49" s="1"/>
  <c r="L287" i="49" s="1"/>
  <c r="L288" i="49" s="1"/>
  <c r="L289" i="49" s="1"/>
  <c r="L290" i="49" s="1"/>
  <c r="L291" i="49" s="1"/>
  <c r="L292" i="49" s="1"/>
  <c r="L293" i="49" s="1"/>
  <c r="L294" i="49" s="1"/>
  <c r="L295" i="49" s="1"/>
  <c r="L296" i="49" s="1"/>
  <c r="L297" i="49" s="1"/>
  <c r="L298" i="49" s="1"/>
  <c r="L299" i="49" s="1"/>
  <c r="L300" i="49" s="1"/>
  <c r="L301" i="49" s="1"/>
  <c r="L302" i="49" s="1"/>
  <c r="L303" i="49" s="1"/>
  <c r="L304" i="49" s="1"/>
  <c r="L305" i="49" s="1"/>
  <c r="L306" i="49" s="1"/>
  <c r="L307" i="49" s="1"/>
  <c r="L308" i="49" s="1"/>
  <c r="L309" i="49" s="1"/>
  <c r="L310" i="49" s="1"/>
  <c r="L311" i="49" s="1"/>
  <c r="L312" i="49" s="1"/>
  <c r="L313" i="49" s="1"/>
  <c r="L314" i="49" s="1"/>
  <c r="L315" i="49" s="1"/>
  <c r="L316" i="49" s="1"/>
  <c r="L317" i="49" s="1"/>
  <c r="L318" i="49" s="1"/>
  <c r="L319" i="49" s="1"/>
  <c r="L320" i="49" s="1"/>
  <c r="L321" i="49" s="1"/>
  <c r="L322" i="49" s="1"/>
  <c r="L323" i="49" s="1"/>
  <c r="L324" i="49" s="1"/>
  <c r="L325" i="49" s="1"/>
  <c r="L326" i="49" s="1"/>
  <c r="L327" i="49" s="1"/>
  <c r="L328" i="49" s="1"/>
  <c r="L329" i="49" s="1"/>
  <c r="L330" i="49" s="1"/>
  <c r="L331" i="49" s="1"/>
  <c r="L332" i="49" s="1"/>
  <c r="L333" i="49" s="1"/>
  <c r="L334" i="49" s="1"/>
  <c r="L335" i="49" s="1"/>
  <c r="L336" i="49" s="1"/>
  <c r="L337" i="49" s="1"/>
  <c r="L338" i="49" s="1"/>
  <c r="L339" i="49" s="1"/>
  <c r="L340" i="49" s="1"/>
  <c r="L341" i="49" s="1"/>
  <c r="L342" i="49" s="1"/>
  <c r="L343" i="49" s="1"/>
  <c r="L344" i="49" s="1"/>
  <c r="L345" i="49" s="1"/>
  <c r="L346" i="49" s="1"/>
  <c r="L347" i="49" s="1"/>
  <c r="L348" i="49" s="1"/>
  <c r="L349" i="49" s="1"/>
  <c r="L350" i="49" s="1"/>
  <c r="L351" i="49" s="1"/>
  <c r="L352" i="49" s="1"/>
  <c r="L353" i="49" s="1"/>
  <c r="L354" i="49" s="1"/>
  <c r="L355" i="49" s="1"/>
  <c r="L356" i="49" s="1"/>
  <c r="L357" i="49" s="1"/>
  <c r="L358" i="49" s="1"/>
  <c r="L359" i="49" s="1"/>
  <c r="L360" i="49" s="1"/>
  <c r="L361" i="49" s="1"/>
  <c r="L362" i="49" s="1"/>
  <c r="L363" i="49" s="1"/>
  <c r="L364" i="49" s="1"/>
  <c r="L365" i="49" s="1"/>
  <c r="L366" i="49" s="1"/>
  <c r="L367" i="49" s="1"/>
  <c r="L368" i="49" s="1"/>
  <c r="L369" i="49" s="1"/>
  <c r="L370" i="49" s="1"/>
  <c r="L371" i="49" s="1"/>
  <c r="L372" i="49" s="1"/>
  <c r="L373" i="49" s="1"/>
  <c r="L374" i="49" s="1"/>
  <c r="L375" i="49" s="1"/>
  <c r="L376" i="49" s="1"/>
  <c r="L377" i="49" s="1"/>
  <c r="L378" i="49" s="1"/>
  <c r="L379" i="49" s="1"/>
  <c r="L380" i="49" s="1"/>
  <c r="L381" i="49" s="1"/>
  <c r="L382" i="49" s="1"/>
  <c r="L383" i="49" s="1"/>
  <c r="L384" i="49" s="1"/>
  <c r="L385" i="49" s="1"/>
  <c r="L386" i="49" s="1"/>
  <c r="L387" i="49" s="1"/>
  <c r="L388" i="49" s="1"/>
  <c r="L389" i="49" s="1"/>
  <c r="L390" i="49" s="1"/>
  <c r="L391" i="49" s="1"/>
  <c r="L392" i="49" s="1"/>
  <c r="L393" i="49" s="1"/>
  <c r="L394" i="49" s="1"/>
  <c r="L395" i="49" s="1"/>
  <c r="L396" i="49" s="1"/>
  <c r="L397" i="49" s="1"/>
  <c r="L398" i="49" s="1"/>
  <c r="L399" i="49" s="1"/>
  <c r="L400" i="49" s="1"/>
  <c r="L401" i="49" s="1"/>
  <c r="L402" i="49" s="1"/>
  <c r="L403" i="49" s="1"/>
  <c r="L404" i="49" s="1"/>
  <c r="L405" i="49" s="1"/>
  <c r="L406" i="49" s="1"/>
  <c r="L407" i="49" s="1"/>
  <c r="L408" i="49" s="1"/>
  <c r="L409" i="49" s="1"/>
  <c r="L410" i="49" s="1"/>
  <c r="L411" i="49" s="1"/>
  <c r="L412" i="49" s="1"/>
  <c r="L413" i="49" s="1"/>
  <c r="L414" i="49" s="1"/>
  <c r="L415" i="49" s="1"/>
  <c r="L416" i="49" s="1"/>
  <c r="L417" i="49" s="1"/>
  <c r="L418" i="49" s="1"/>
  <c r="L419" i="49" s="1"/>
  <c r="L420" i="49" s="1"/>
  <c r="L421" i="49" s="1"/>
  <c r="L422" i="49" s="1"/>
  <c r="L423" i="49" s="1"/>
  <c r="L424" i="49" s="1"/>
  <c r="L425" i="49" s="1"/>
  <c r="L426" i="49" s="1"/>
  <c r="L427" i="49" s="1"/>
  <c r="L428" i="49" s="1"/>
  <c r="L429" i="49" s="1"/>
  <c r="L430" i="49" s="1"/>
  <c r="L431" i="49" s="1"/>
  <c r="L432" i="49" s="1"/>
  <c r="L433" i="49" s="1"/>
  <c r="L434" i="49" s="1"/>
  <c r="L435" i="49" s="1"/>
  <c r="L436" i="49" s="1"/>
  <c r="L437" i="49" s="1"/>
  <c r="L438" i="49" s="1"/>
  <c r="L439" i="49" s="1"/>
  <c r="L440" i="49" s="1"/>
  <c r="L441" i="49" s="1"/>
  <c r="L442" i="49" s="1"/>
  <c r="L443" i="49" s="1"/>
  <c r="L444" i="49" s="1"/>
  <c r="L445" i="49" s="1"/>
  <c r="L446" i="49" s="1"/>
  <c r="L447" i="49" s="1"/>
  <c r="L448" i="49" s="1"/>
  <c r="L449" i="49" s="1"/>
  <c r="L450" i="49" s="1"/>
  <c r="L451" i="49" s="1"/>
  <c r="L452" i="49" s="1"/>
  <c r="L453" i="49" s="1"/>
  <c r="L454" i="49" s="1"/>
  <c r="L455" i="49" s="1"/>
  <c r="L456" i="49" s="1"/>
  <c r="L457" i="49" s="1"/>
  <c r="L458" i="49" s="1"/>
  <c r="L459" i="49" s="1"/>
  <c r="L460" i="49" s="1"/>
  <c r="L461" i="49" s="1"/>
  <c r="L462" i="49" s="1"/>
  <c r="L463" i="49" s="1"/>
  <c r="L464" i="49" s="1"/>
  <c r="L465" i="49" s="1"/>
  <c r="L466" i="49" s="1"/>
  <c r="L467" i="49" s="1"/>
  <c r="L468" i="49" s="1"/>
  <c r="L469" i="49" s="1"/>
  <c r="L470" i="49" s="1"/>
  <c r="L471" i="49" s="1"/>
  <c r="L472" i="49" s="1"/>
  <c r="L473" i="49" s="1"/>
  <c r="L474" i="49" s="1"/>
  <c r="L475" i="49" s="1"/>
  <c r="L476" i="49" s="1"/>
  <c r="L477" i="49" s="1"/>
  <c r="L478" i="49" s="1"/>
  <c r="L479" i="49" s="1"/>
  <c r="L480" i="49" s="1"/>
  <c r="L481" i="49" s="1"/>
  <c r="L482" i="49" s="1"/>
  <c r="L483" i="49" s="1"/>
  <c r="L484" i="49" s="1"/>
  <c r="L485" i="49" s="1"/>
  <c r="L487" i="49" s="1"/>
  <c r="L488" i="49" s="1"/>
  <c r="L489" i="49" s="1"/>
  <c r="L490" i="49" s="1"/>
  <c r="L491" i="49" s="1"/>
  <c r="L492" i="49" s="1"/>
  <c r="L493" i="49" s="1"/>
  <c r="L494" i="49" s="1"/>
  <c r="L495" i="49" s="1"/>
  <c r="L496" i="49" s="1"/>
  <c r="L497" i="49" s="1"/>
  <c r="L498" i="49" s="1"/>
  <c r="L499" i="49" s="1"/>
  <c r="L500" i="49" s="1"/>
  <c r="L501" i="49" s="1"/>
  <c r="L502" i="49" s="1"/>
  <c r="L503" i="49" s="1"/>
  <c r="L504" i="49" s="1"/>
  <c r="L505" i="49" s="1"/>
  <c r="L506" i="49" s="1"/>
  <c r="L507" i="49" s="1"/>
  <c r="L508" i="49" s="1"/>
  <c r="L509" i="49" s="1"/>
  <c r="L510" i="49" s="1"/>
  <c r="L511" i="49" s="1"/>
  <c r="L512" i="49" s="1"/>
  <c r="L513" i="49" s="1"/>
  <c r="L514" i="49" s="1"/>
  <c r="L515" i="49" s="1"/>
  <c r="L516" i="49" s="1"/>
  <c r="L517" i="49" s="1"/>
  <c r="L518" i="49" s="1"/>
  <c r="L519" i="49" s="1"/>
  <c r="L520" i="49" s="1"/>
  <c r="L521" i="49" s="1"/>
  <c r="L522" i="49" s="1"/>
  <c r="L523" i="49" s="1"/>
  <c r="L524" i="49" s="1"/>
  <c r="L525" i="49" s="1"/>
  <c r="L526" i="49" s="1"/>
  <c r="L527" i="49" s="1"/>
  <c r="L528" i="49" s="1"/>
  <c r="L529" i="49" s="1"/>
  <c r="L530" i="49" s="1"/>
  <c r="L531" i="49" s="1"/>
  <c r="L532" i="49" s="1"/>
  <c r="L533" i="49" s="1"/>
  <c r="L534" i="49" s="1"/>
  <c r="L535" i="49" s="1"/>
  <c r="L536" i="49" s="1"/>
  <c r="L537" i="49" s="1"/>
  <c r="L538" i="49" s="1"/>
  <c r="L539" i="49" s="1"/>
  <c r="L540" i="49" s="1"/>
  <c r="L541" i="49" s="1"/>
  <c r="L542" i="49" s="1"/>
  <c r="L543" i="49" s="1"/>
  <c r="L544" i="49" s="1"/>
  <c r="L545" i="49" s="1"/>
  <c r="L546" i="49" s="1"/>
  <c r="L547" i="49" s="1"/>
  <c r="L548" i="49" s="1"/>
  <c r="L549" i="49" s="1"/>
  <c r="L550" i="49" s="1"/>
  <c r="L551" i="49" s="1"/>
  <c r="L552" i="49" s="1"/>
  <c r="L553" i="49" s="1"/>
  <c r="L554" i="49" s="1"/>
  <c r="L555" i="49" s="1"/>
  <c r="L556" i="49" s="1"/>
  <c r="L557" i="49" s="1"/>
  <c r="L558" i="49" s="1"/>
  <c r="L559" i="49" s="1"/>
  <c r="L560" i="49" s="1"/>
  <c r="L561" i="49" s="1"/>
  <c r="L562" i="49" s="1"/>
  <c r="L563" i="49" s="1"/>
  <c r="L564" i="49" s="1"/>
  <c r="L565" i="49" s="1"/>
  <c r="L566" i="49" s="1"/>
  <c r="L567" i="49" s="1"/>
  <c r="L568" i="49" s="1"/>
  <c r="L569" i="49" s="1"/>
  <c r="L570" i="49" s="1"/>
  <c r="L571" i="49" s="1"/>
  <c r="L572" i="49" s="1"/>
  <c r="L573" i="49" s="1"/>
  <c r="L574" i="49" s="1"/>
  <c r="L575" i="49" s="1"/>
  <c r="L576" i="49" s="1"/>
  <c r="L577" i="49" s="1"/>
  <c r="L578" i="49" s="1"/>
  <c r="L579" i="49" s="1"/>
  <c r="L580" i="49" s="1"/>
  <c r="L581" i="49" s="1"/>
  <c r="L582" i="49" s="1"/>
  <c r="L583" i="49" s="1"/>
  <c r="L584" i="49" s="1"/>
  <c r="L585" i="49" s="1"/>
  <c r="L587" i="49" s="1"/>
  <c r="L588" i="49" s="1"/>
  <c r="L589" i="49" s="1"/>
  <c r="L590" i="49" s="1"/>
  <c r="L591" i="49" s="1"/>
  <c r="L592" i="49" s="1"/>
  <c r="L593" i="49" s="1"/>
  <c r="L594" i="49" s="1"/>
  <c r="L595" i="49" s="1"/>
  <c r="L596" i="49" s="1"/>
  <c r="L597" i="49" s="1"/>
  <c r="L598" i="49" s="1"/>
  <c r="L599" i="49" s="1"/>
  <c r="L600" i="49" s="1"/>
  <c r="L601" i="49" s="1"/>
  <c r="L602" i="49" s="1"/>
  <c r="L603" i="49" s="1"/>
  <c r="L604" i="49" s="1"/>
  <c r="L605" i="49" s="1"/>
  <c r="L606" i="49" s="1"/>
  <c r="L607" i="49" s="1"/>
  <c r="L608" i="49" s="1"/>
  <c r="L609" i="49" s="1"/>
  <c r="L610" i="49" s="1"/>
  <c r="L611" i="49" s="1"/>
  <c r="L612" i="49" s="1"/>
  <c r="L613" i="49" s="1"/>
  <c r="L614" i="49" s="1"/>
  <c r="L615" i="49" s="1"/>
  <c r="L616" i="49" s="1"/>
  <c r="L617" i="49" s="1"/>
  <c r="L618" i="49" s="1"/>
  <c r="L619" i="49" s="1"/>
  <c r="L620" i="49" s="1"/>
  <c r="L621" i="49" s="1"/>
  <c r="L622" i="49" s="1"/>
  <c r="L623" i="49" s="1"/>
  <c r="L624" i="49" s="1"/>
  <c r="L625" i="49" s="1"/>
  <c r="L626" i="49" s="1"/>
  <c r="L627" i="49" s="1"/>
  <c r="L628" i="49" s="1"/>
  <c r="L629" i="49" s="1"/>
  <c r="L630" i="49" s="1"/>
  <c r="L631" i="49" s="1"/>
  <c r="L632" i="49" s="1"/>
  <c r="L633" i="49" s="1"/>
  <c r="L634" i="49" s="1"/>
  <c r="L635" i="49" s="1"/>
  <c r="L636" i="49" s="1"/>
  <c r="L637" i="49" s="1"/>
  <c r="L638" i="49" s="1"/>
  <c r="L639" i="49" s="1"/>
  <c r="L640" i="49" s="1"/>
  <c r="L641" i="49" s="1"/>
  <c r="L642" i="49" s="1"/>
  <c r="L643" i="49" s="1"/>
  <c r="L644" i="49" s="1"/>
  <c r="L645" i="49" s="1"/>
  <c r="L646" i="49" s="1"/>
  <c r="L647" i="49" s="1"/>
  <c r="L648" i="49" s="1"/>
  <c r="L649" i="49" s="1"/>
  <c r="L650" i="49" s="1"/>
  <c r="L651" i="49" s="1"/>
  <c r="L652" i="49" s="1"/>
  <c r="L653" i="49" s="1"/>
  <c r="L654" i="49" s="1"/>
  <c r="L655" i="49" s="1"/>
  <c r="L656" i="49" s="1"/>
  <c r="L657" i="49" s="1"/>
  <c r="L658" i="49" s="1"/>
  <c r="L659" i="49" s="1"/>
  <c r="L660" i="49" s="1"/>
  <c r="L661" i="49" s="1"/>
  <c r="L662" i="49" s="1"/>
  <c r="L663" i="49" s="1"/>
  <c r="L664" i="49" s="1"/>
  <c r="L665" i="49" s="1"/>
  <c r="L666" i="49" s="1"/>
  <c r="L667" i="49" s="1"/>
  <c r="L668" i="49" s="1"/>
  <c r="L669" i="49" s="1"/>
  <c r="L670" i="49" s="1"/>
  <c r="L671" i="49" s="1"/>
  <c r="L672" i="49" s="1"/>
  <c r="L673" i="49" s="1"/>
  <c r="L674" i="49" s="1"/>
  <c r="L675" i="49" s="1"/>
  <c r="L676" i="49" s="1"/>
  <c r="L677" i="49" s="1"/>
  <c r="L678" i="49" s="1"/>
  <c r="L679" i="49" s="1"/>
  <c r="L680" i="49" s="1"/>
  <c r="L681" i="49" s="1"/>
  <c r="L682" i="49" s="1"/>
  <c r="L683" i="49" s="1"/>
  <c r="L684" i="49" s="1"/>
  <c r="L685" i="49" s="1"/>
  <c r="L687" i="49" s="1"/>
  <c r="L688" i="49" s="1"/>
  <c r="L689" i="49" s="1"/>
  <c r="L690" i="49" s="1"/>
  <c r="L691" i="49" s="1"/>
  <c r="L692" i="49" s="1"/>
  <c r="L693" i="49" s="1"/>
  <c r="L694" i="49" s="1"/>
  <c r="L695" i="49" s="1"/>
  <c r="L696" i="49" s="1"/>
  <c r="L697" i="49" s="1"/>
  <c r="L698" i="49" s="1"/>
  <c r="L699" i="49" s="1"/>
  <c r="L700" i="49" s="1"/>
  <c r="L701" i="49" s="1"/>
  <c r="L702" i="49" s="1"/>
  <c r="L703" i="49" s="1"/>
  <c r="L704" i="49" s="1"/>
  <c r="L705" i="49" s="1"/>
  <c r="L706" i="49" s="1"/>
  <c r="L707" i="49" s="1"/>
  <c r="L708" i="49" s="1"/>
  <c r="L709" i="49" s="1"/>
  <c r="L710" i="49" s="1"/>
  <c r="L711" i="49" s="1"/>
  <c r="L712" i="49" s="1"/>
  <c r="L713" i="49" s="1"/>
  <c r="L714" i="49" s="1"/>
  <c r="L715" i="49" s="1"/>
  <c r="L716" i="49" s="1"/>
  <c r="L717" i="49" s="1"/>
  <c r="L718" i="49" s="1"/>
  <c r="L719" i="49" s="1"/>
  <c r="L720" i="49" s="1"/>
  <c r="L721" i="49" s="1"/>
  <c r="L722" i="49" s="1"/>
  <c r="L723" i="49" s="1"/>
  <c r="L724" i="49" s="1"/>
  <c r="L725" i="49" s="1"/>
  <c r="L726" i="49" s="1"/>
  <c r="L727" i="49" s="1"/>
  <c r="L728" i="49" s="1"/>
  <c r="L729" i="49" s="1"/>
  <c r="L730" i="49" s="1"/>
  <c r="L731" i="49" s="1"/>
  <c r="L732" i="49" s="1"/>
  <c r="L733" i="49" s="1"/>
  <c r="L734" i="49" s="1"/>
  <c r="L735" i="49" s="1"/>
  <c r="L736" i="49" s="1"/>
  <c r="L737" i="49" s="1"/>
  <c r="L738" i="49" s="1"/>
  <c r="L739" i="49" s="1"/>
  <c r="L740" i="49" s="1"/>
  <c r="L741" i="49" s="1"/>
  <c r="L742" i="49" s="1"/>
  <c r="L743" i="49" s="1"/>
  <c r="L744" i="49" s="1"/>
  <c r="L745" i="49" s="1"/>
  <c r="L746" i="49" s="1"/>
  <c r="L747" i="49" s="1"/>
  <c r="L748" i="49" s="1"/>
  <c r="L749" i="49" s="1"/>
  <c r="L750" i="49" s="1"/>
  <c r="L751" i="49" s="1"/>
  <c r="L752" i="49" s="1"/>
  <c r="L753" i="49" s="1"/>
  <c r="L754" i="49" s="1"/>
  <c r="L755" i="49" s="1"/>
  <c r="L756" i="49" s="1"/>
  <c r="L757" i="49" s="1"/>
  <c r="L758" i="49" s="1"/>
  <c r="L759" i="49" s="1"/>
  <c r="L760" i="49" s="1"/>
  <c r="L761" i="49" s="1"/>
  <c r="L762" i="49" s="1"/>
  <c r="L763" i="49" s="1"/>
  <c r="L764" i="49" s="1"/>
  <c r="L765" i="49" s="1"/>
  <c r="L766" i="49" s="1"/>
  <c r="L767" i="49" s="1"/>
  <c r="L768" i="49" s="1"/>
  <c r="L769" i="49" s="1"/>
  <c r="L770" i="49" s="1"/>
  <c r="L771" i="49" s="1"/>
  <c r="L772" i="49" s="1"/>
  <c r="L773" i="49" s="1"/>
  <c r="L774" i="49" s="1"/>
  <c r="L775" i="49" s="1"/>
  <c r="L776" i="49" s="1"/>
  <c r="L777" i="49" s="1"/>
  <c r="L778" i="49" s="1"/>
  <c r="L779" i="49" s="1"/>
  <c r="L780" i="49" s="1"/>
  <c r="L781" i="49" s="1"/>
  <c r="L782" i="49" s="1"/>
  <c r="L783" i="49" s="1"/>
  <c r="L784" i="49" s="1"/>
  <c r="L785" i="49" s="1"/>
  <c r="L787" i="49" s="1"/>
  <c r="L788" i="49" s="1"/>
  <c r="L789" i="49" s="1"/>
  <c r="L790" i="49" s="1"/>
  <c r="L791" i="49" s="1"/>
  <c r="L792" i="49" s="1"/>
  <c r="L793" i="49" s="1"/>
  <c r="L794" i="49" s="1"/>
  <c r="L795" i="49" s="1"/>
  <c r="L796" i="49" s="1"/>
  <c r="L797" i="49" s="1"/>
  <c r="L798" i="49" s="1"/>
  <c r="L799" i="49" s="1"/>
  <c r="L800" i="49" s="1"/>
  <c r="L801" i="49" s="1"/>
  <c r="L802" i="49" s="1"/>
  <c r="L803" i="49" s="1"/>
  <c r="L804" i="49" s="1"/>
  <c r="L805" i="49" s="1"/>
  <c r="L806" i="49" s="1"/>
  <c r="L807" i="49" s="1"/>
  <c r="L808" i="49" s="1"/>
  <c r="L809" i="49" s="1"/>
  <c r="L810" i="49" s="1"/>
  <c r="L811" i="49" s="1"/>
  <c r="L812" i="49" s="1"/>
  <c r="L813" i="49" s="1"/>
  <c r="L814" i="49" s="1"/>
  <c r="L815" i="49" s="1"/>
  <c r="L816" i="49" s="1"/>
  <c r="L817" i="49" s="1"/>
  <c r="L818" i="49" s="1"/>
  <c r="L819" i="49" s="1"/>
  <c r="L820" i="49" s="1"/>
  <c r="L821" i="49" s="1"/>
  <c r="L822" i="49" s="1"/>
  <c r="L823" i="49" s="1"/>
  <c r="L824" i="49" s="1"/>
  <c r="L825" i="49" s="1"/>
  <c r="L826" i="49" s="1"/>
  <c r="L827" i="49" s="1"/>
  <c r="L828" i="49" s="1"/>
  <c r="L829" i="49" s="1"/>
  <c r="L830" i="49" s="1"/>
  <c r="L831" i="49" s="1"/>
  <c r="L832" i="49" s="1"/>
  <c r="L833" i="49" s="1"/>
  <c r="L834" i="49" s="1"/>
  <c r="L835" i="49" s="1"/>
  <c r="L836" i="49" s="1"/>
  <c r="L837" i="49" s="1"/>
  <c r="L838" i="49" s="1"/>
  <c r="L839" i="49" s="1"/>
  <c r="L840" i="49" s="1"/>
  <c r="L841" i="49" s="1"/>
  <c r="L842" i="49" s="1"/>
  <c r="L843" i="49" s="1"/>
  <c r="L844" i="49" s="1"/>
  <c r="L845" i="49" s="1"/>
  <c r="L846" i="49" s="1"/>
  <c r="L847" i="49" s="1"/>
  <c r="L848" i="49" s="1"/>
  <c r="L849" i="49" s="1"/>
  <c r="L850" i="49" s="1"/>
  <c r="L851" i="49" s="1"/>
  <c r="L852" i="49" s="1"/>
  <c r="L853" i="49" s="1"/>
  <c r="L854" i="49" s="1"/>
  <c r="L855" i="49" s="1"/>
  <c r="L856" i="49" s="1"/>
  <c r="L857" i="49" s="1"/>
  <c r="L858" i="49" s="1"/>
  <c r="L859" i="49" s="1"/>
  <c r="L860" i="49" s="1"/>
  <c r="L861" i="49" s="1"/>
  <c r="L862" i="49" s="1"/>
  <c r="L863" i="49" s="1"/>
  <c r="L864" i="49" s="1"/>
  <c r="L865" i="49" s="1"/>
  <c r="L866" i="49" s="1"/>
  <c r="L867" i="49" s="1"/>
  <c r="L868" i="49" s="1"/>
  <c r="L869" i="49" s="1"/>
  <c r="L870" i="49" s="1"/>
  <c r="L871" i="49" s="1"/>
  <c r="L872" i="49" s="1"/>
  <c r="L873" i="49" s="1"/>
  <c r="L874" i="49" s="1"/>
  <c r="L875" i="49" s="1"/>
  <c r="L876" i="49" s="1"/>
  <c r="L877" i="49" s="1"/>
  <c r="L878" i="49" s="1"/>
  <c r="L879" i="49" s="1"/>
  <c r="L880" i="49" s="1"/>
  <c r="L881" i="49" s="1"/>
  <c r="L882" i="49" s="1"/>
  <c r="L883" i="49" s="1"/>
  <c r="L884" i="49" s="1"/>
  <c r="L885" i="49" s="1"/>
  <c r="L887" i="49" s="1"/>
  <c r="L888" i="49" s="1"/>
  <c r="L889" i="49" s="1"/>
  <c r="L890" i="49" s="1"/>
  <c r="L891" i="49" s="1"/>
  <c r="L892" i="49" s="1"/>
  <c r="L893" i="49" s="1"/>
  <c r="L894" i="49" s="1"/>
  <c r="L895" i="49" s="1"/>
  <c r="L896" i="49" s="1"/>
  <c r="L897" i="49" s="1"/>
  <c r="L898" i="49" s="1"/>
  <c r="L899" i="49" s="1"/>
  <c r="L900" i="49" s="1"/>
  <c r="L901" i="49" s="1"/>
  <c r="L902" i="49" s="1"/>
  <c r="L903" i="49" s="1"/>
  <c r="L904" i="49" s="1"/>
  <c r="L905" i="49" s="1"/>
  <c r="L906" i="49" s="1"/>
  <c r="L907" i="49" s="1"/>
  <c r="L908" i="49" s="1"/>
  <c r="L909" i="49" s="1"/>
  <c r="L910" i="49" s="1"/>
  <c r="L911" i="49" s="1"/>
  <c r="L912" i="49" s="1"/>
  <c r="L913" i="49" s="1"/>
  <c r="L914" i="49" s="1"/>
  <c r="L915" i="49" s="1"/>
  <c r="L916" i="49" s="1"/>
  <c r="L917" i="49" s="1"/>
  <c r="L918" i="49" s="1"/>
  <c r="L919" i="49" s="1"/>
  <c r="L920" i="49" s="1"/>
  <c r="L921" i="49" s="1"/>
  <c r="L922" i="49" s="1"/>
  <c r="L923" i="49" s="1"/>
  <c r="L924" i="49" s="1"/>
  <c r="L925" i="49" s="1"/>
  <c r="L926" i="49" s="1"/>
  <c r="L927" i="49" s="1"/>
  <c r="L928" i="49" s="1"/>
  <c r="L929" i="49" s="1"/>
  <c r="L930" i="49" s="1"/>
  <c r="L931" i="49" s="1"/>
  <c r="L932" i="49" s="1"/>
  <c r="L933" i="49" s="1"/>
  <c r="L934" i="49" s="1"/>
  <c r="L935" i="49" s="1"/>
  <c r="L936" i="49" s="1"/>
  <c r="L937" i="49" s="1"/>
  <c r="L938" i="49" s="1"/>
  <c r="L939" i="49" s="1"/>
  <c r="L940" i="49" s="1"/>
  <c r="L941" i="49" s="1"/>
  <c r="L942" i="49" s="1"/>
  <c r="L943" i="49" s="1"/>
  <c r="L944" i="49" s="1"/>
  <c r="L945" i="49" s="1"/>
  <c r="L946" i="49" s="1"/>
  <c r="L947" i="49" s="1"/>
  <c r="L948" i="49" s="1"/>
  <c r="L949" i="49" s="1"/>
  <c r="L950" i="49" s="1"/>
  <c r="L951" i="49" s="1"/>
  <c r="L952" i="49" s="1"/>
  <c r="L953" i="49" s="1"/>
  <c r="L954" i="49" s="1"/>
  <c r="L955" i="49" s="1"/>
  <c r="L956" i="49" s="1"/>
  <c r="L957" i="49" s="1"/>
  <c r="L958" i="49" s="1"/>
  <c r="L959" i="49" s="1"/>
  <c r="L960" i="49" s="1"/>
  <c r="L961" i="49" s="1"/>
  <c r="L962" i="49" s="1"/>
  <c r="L963" i="49" s="1"/>
  <c r="L964" i="49" s="1"/>
  <c r="L965" i="49" s="1"/>
  <c r="L966" i="49" s="1"/>
  <c r="L967" i="49" s="1"/>
  <c r="L968" i="49" s="1"/>
  <c r="L969" i="49" s="1"/>
  <c r="L970" i="49" s="1"/>
  <c r="L971" i="49" s="1"/>
  <c r="L972" i="49" s="1"/>
  <c r="L973" i="49" s="1"/>
  <c r="L974" i="49" s="1"/>
  <c r="L975" i="49" s="1"/>
  <c r="L976" i="49" s="1"/>
  <c r="L977" i="49" s="1"/>
  <c r="L978" i="49" s="1"/>
  <c r="L979" i="49" s="1"/>
  <c r="L980" i="49" s="1"/>
  <c r="L981" i="49" s="1"/>
  <c r="L982" i="49" s="1"/>
  <c r="L983" i="49" s="1"/>
  <c r="L984" i="49" s="1"/>
  <c r="L985" i="49" s="1"/>
  <c r="D160" i="46" l="1"/>
  <c r="D161" i="46"/>
  <c r="D162" i="46"/>
  <c r="D163" i="46"/>
  <c r="D164" i="46"/>
  <c r="D165" i="46"/>
  <c r="D166" i="46"/>
  <c r="D158" i="46"/>
  <c r="D33" i="46" l="1"/>
  <c r="E161" i="46" s="1"/>
  <c r="D34" i="46"/>
  <c r="E162" i="46" s="1"/>
  <c r="D35" i="46"/>
  <c r="E163" i="46" s="1"/>
  <c r="D36" i="46"/>
  <c r="E164" i="46" s="1"/>
  <c r="D37" i="46"/>
  <c r="E165" i="46" s="1"/>
  <c r="D38" i="46"/>
  <c r="E166" i="46" s="1"/>
  <c r="D32" i="46"/>
  <c r="E160" i="46" s="1"/>
  <c r="D199" i="46"/>
  <c r="D200" i="46" l="1"/>
  <c r="E261" i="46" s="1"/>
  <c r="G102" i="46"/>
  <c r="D103" i="46"/>
  <c r="G103" i="46" s="1"/>
  <c r="E37" i="46"/>
  <c r="F37" i="46" s="1"/>
  <c r="E366" i="46" s="1"/>
  <c r="E33" i="46"/>
  <c r="F33" i="46" s="1"/>
  <c r="E362" i="46" s="1"/>
  <c r="E34" i="46"/>
  <c r="F34" i="46" s="1"/>
  <c r="E363" i="46" s="1"/>
  <c r="E32" i="46"/>
  <c r="F32" i="46" s="1"/>
  <c r="E38" i="46"/>
  <c r="F38" i="46" s="1"/>
  <c r="E367" i="46" s="1"/>
  <c r="E36" i="46"/>
  <c r="F36" i="46" s="1"/>
  <c r="E365" i="46" s="1"/>
  <c r="E35" i="46"/>
  <c r="F35" i="46" s="1"/>
  <c r="E364" i="46" s="1"/>
  <c r="L14" i="46"/>
  <c r="J8" i="46"/>
  <c r="F11" i="46"/>
  <c r="F12" i="46"/>
  <c r="F13" i="46"/>
  <c r="F15" i="46"/>
  <c r="F17" i="46"/>
  <c r="F10" i="46"/>
  <c r="F7" i="46"/>
  <c r="F8" i="46"/>
  <c r="F6" i="46"/>
  <c r="E361" i="46" l="1"/>
  <c r="E75" i="46"/>
  <c r="E311" i="46"/>
  <c r="E315" i="46"/>
  <c r="E313" i="46"/>
  <c r="E314" i="46"/>
  <c r="E310" i="46"/>
  <c r="E312" i="46"/>
  <c r="G166" i="46"/>
  <c r="E316" i="46"/>
  <c r="H124" i="46"/>
  <c r="H125" i="46" s="1"/>
  <c r="E124" i="46"/>
  <c r="E201" i="46"/>
  <c r="D201" i="46"/>
  <c r="D115" i="46"/>
  <c r="G164" i="46"/>
  <c r="D111" i="46"/>
  <c r="G160" i="46"/>
  <c r="D113" i="46"/>
  <c r="G162" i="46"/>
  <c r="D112" i="46"/>
  <c r="G161" i="46"/>
  <c r="D116" i="46"/>
  <c r="G165" i="46"/>
  <c r="D114" i="46"/>
  <c r="G163" i="46"/>
  <c r="E52" i="46"/>
  <c r="D117" i="46"/>
  <c r="E48" i="46"/>
  <c r="E77" i="46"/>
  <c r="E47" i="46"/>
  <c r="E76" i="46"/>
  <c r="E51" i="46"/>
  <c r="E80" i="46"/>
  <c r="E46" i="46"/>
  <c r="E49" i="46"/>
  <c r="E78" i="46"/>
  <c r="E50" i="46"/>
  <c r="E79" i="46"/>
  <c r="H67" i="46"/>
  <c r="J83" i="42"/>
  <c r="J84" i="42"/>
  <c r="J85" i="42"/>
  <c r="J86" i="42"/>
  <c r="J87" i="42"/>
  <c r="E125" i="46" l="1"/>
  <c r="H47" i="42"/>
  <c r="D49" i="42"/>
  <c r="D50" i="42"/>
  <c r="H50" i="42" s="1"/>
  <c r="D51" i="42"/>
  <c r="H51" i="42" s="1"/>
  <c r="D52" i="42"/>
  <c r="H52" i="42" s="1"/>
  <c r="C48" i="42"/>
  <c r="C49" i="42"/>
  <c r="C50" i="42"/>
  <c r="C51" i="42"/>
  <c r="C52" i="42"/>
  <c r="D53" i="42" l="1"/>
  <c r="N47" i="42" s="1"/>
  <c r="H49" i="42"/>
  <c r="D34" i="42"/>
  <c r="N46" i="42" l="1"/>
  <c r="I49" i="42"/>
  <c r="I51" i="42"/>
  <c r="I52" i="42"/>
  <c r="I47" i="42"/>
  <c r="J47" i="42" s="1"/>
  <c r="I48" i="42"/>
  <c r="I50" i="42"/>
  <c r="D35" i="42"/>
  <c r="D36" i="42"/>
  <c r="D61" i="42" s="1"/>
  <c r="D72" i="42" l="1"/>
  <c r="D74" i="42"/>
  <c r="D73" i="42"/>
  <c r="H34" i="42"/>
  <c r="G35" i="42"/>
  <c r="J48" i="42"/>
  <c r="J49" i="42" s="1"/>
  <c r="J50" i="42" s="1"/>
  <c r="J51" i="42" s="1"/>
  <c r="J52" i="42" s="1"/>
  <c r="H35" i="42"/>
  <c r="G36" i="42"/>
  <c r="G34" i="42"/>
  <c r="H37" i="42"/>
  <c r="F62" i="42"/>
  <c r="H38" i="42"/>
  <c r="H36" i="42"/>
  <c r="F61" i="42"/>
  <c r="G38" i="42"/>
  <c r="D62" i="42"/>
  <c r="H33" i="42"/>
  <c r="H82" i="42" s="1"/>
  <c r="G33" i="42"/>
  <c r="G82" i="42" s="1"/>
  <c r="G37" i="42"/>
  <c r="E75" i="42" l="1"/>
  <c r="E77" i="42"/>
  <c r="E76" i="42"/>
  <c r="D77" i="42"/>
  <c r="D76" i="42"/>
  <c r="D75" i="42"/>
  <c r="E74" i="42"/>
  <c r="E72" i="42"/>
  <c r="E73" i="42"/>
  <c r="M82" i="42"/>
  <c r="M75" i="46" s="1"/>
  <c r="G83" i="42"/>
  <c r="M83" i="42" s="1"/>
  <c r="G84" i="42"/>
  <c r="M84" i="42" s="1"/>
  <c r="N82" i="42"/>
  <c r="M144" i="46" s="1"/>
  <c r="G86" i="42"/>
  <c r="M86" i="42" s="1"/>
  <c r="G85" i="42"/>
  <c r="M85" i="42" s="1"/>
  <c r="M78" i="46" s="1"/>
  <c r="G87" i="42"/>
  <c r="M87" i="42" s="1"/>
  <c r="H86" i="42" l="1"/>
  <c r="N86" i="42" s="1"/>
  <c r="M148" i="46" s="1"/>
  <c r="H83" i="42"/>
  <c r="N83" i="42" s="1"/>
  <c r="M88" i="46" s="1"/>
  <c r="H87" i="42"/>
  <c r="N87" i="42" s="1"/>
  <c r="M92" i="46" s="1"/>
  <c r="H85" i="42"/>
  <c r="N85" i="42" s="1"/>
  <c r="M147" i="46" s="1"/>
  <c r="H84" i="42"/>
  <c r="N84" i="42" s="1"/>
  <c r="M146" i="46" s="1"/>
  <c r="M137" i="46"/>
  <c r="M79" i="46"/>
  <c r="M87" i="46"/>
  <c r="M77" i="46"/>
  <c r="M135" i="46"/>
  <c r="M133" i="46"/>
  <c r="M76" i="46"/>
  <c r="M134" i="46"/>
  <c r="M138" i="46"/>
  <c r="M80" i="46"/>
  <c r="M136" i="46"/>
  <c r="M91" i="46" l="1"/>
  <c r="M89" i="46"/>
  <c r="M149" i="46"/>
  <c r="M145" i="46"/>
  <c r="M90" i="46"/>
  <c r="K9" i="42" l="1"/>
  <c r="K10" i="42"/>
  <c r="K9" i="46" s="1"/>
  <c r="F161" i="46" s="1"/>
  <c r="K12" i="42"/>
  <c r="K11" i="46" s="1"/>
  <c r="F163" i="46" s="1"/>
  <c r="K13" i="42"/>
  <c r="K12" i="46" s="1"/>
  <c r="F164" i="46" s="1"/>
  <c r="L11" i="42"/>
  <c r="L10" i="46" s="1"/>
  <c r="L9" i="42"/>
  <c r="L8" i="46" s="1"/>
  <c r="L59" i="36"/>
  <c r="L58" i="36"/>
  <c r="M57" i="36"/>
  <c r="M56" i="36"/>
  <c r="M55" i="36"/>
  <c r="M54" i="36"/>
  <c r="M53" i="36"/>
  <c r="M52" i="36"/>
  <c r="L79" i="36"/>
  <c r="I79" i="36"/>
  <c r="L78" i="36"/>
  <c r="I78" i="36"/>
  <c r="L77" i="36"/>
  <c r="I77" i="36"/>
  <c r="L76" i="36"/>
  <c r="M76" i="36" s="1"/>
  <c r="N76" i="36" s="1"/>
  <c r="I76" i="36"/>
  <c r="J76" i="36" s="1"/>
  <c r="K76" i="36" s="1"/>
  <c r="L75" i="36"/>
  <c r="M75" i="36" s="1"/>
  <c r="N75" i="36" s="1"/>
  <c r="I75" i="36"/>
  <c r="L74" i="36"/>
  <c r="I74" i="36"/>
  <c r="J74" i="36" s="1"/>
  <c r="K74" i="36" s="1"/>
  <c r="E58" i="36"/>
  <c r="E57" i="36"/>
  <c r="E56" i="36"/>
  <c r="E55" i="36"/>
  <c r="E54" i="36"/>
  <c r="E53" i="36"/>
  <c r="E30" i="36"/>
  <c r="F15" i="36"/>
  <c r="P15" i="42"/>
  <c r="P14" i="46" s="1"/>
  <c r="P14" i="42"/>
  <c r="P13" i="46" s="1"/>
  <c r="E262" i="46" l="1"/>
  <c r="F262" i="46" s="1"/>
  <c r="G215" i="46"/>
  <c r="G216" i="46" s="1"/>
  <c r="F215" i="46"/>
  <c r="P76" i="36"/>
  <c r="F10" i="42"/>
  <c r="F9" i="46" s="1"/>
  <c r="G178" i="46" s="1"/>
  <c r="F16" i="42"/>
  <c r="F14" i="46" s="1"/>
  <c r="E31" i="36"/>
  <c r="F216" i="46"/>
  <c r="I136" i="46"/>
  <c r="I90" i="46"/>
  <c r="I147" i="46"/>
  <c r="D49" i="46"/>
  <c r="I78" i="46"/>
  <c r="D55" i="36"/>
  <c r="K11" i="42"/>
  <c r="K10" i="46" s="1"/>
  <c r="F162" i="46" s="1"/>
  <c r="I88" i="46"/>
  <c r="I134" i="46"/>
  <c r="D47" i="46"/>
  <c r="I76" i="46"/>
  <c r="I145" i="46"/>
  <c r="K8" i="46"/>
  <c r="F160" i="46" s="1"/>
  <c r="K15" i="42"/>
  <c r="K14" i="46" s="1"/>
  <c r="F166" i="46" s="1"/>
  <c r="K14" i="42"/>
  <c r="K13" i="46" s="1"/>
  <c r="F165" i="46" s="1"/>
  <c r="I91" i="46"/>
  <c r="D50" i="46"/>
  <c r="I79" i="46"/>
  <c r="I148" i="46"/>
  <c r="I137" i="46"/>
  <c r="E32" i="36"/>
  <c r="G41" i="36" s="1"/>
  <c r="J79" i="36"/>
  <c r="K79" i="36" s="1"/>
  <c r="M77" i="36"/>
  <c r="N77" i="36" s="1"/>
  <c r="M79" i="36"/>
  <c r="N79" i="36" s="1"/>
  <c r="L12" i="42"/>
  <c r="L11" i="46" s="1"/>
  <c r="D58" i="36"/>
  <c r="D53" i="36"/>
  <c r="D56" i="36"/>
  <c r="D57" i="36"/>
  <c r="R76" i="36"/>
  <c r="R75" i="36"/>
  <c r="F42" i="36"/>
  <c r="M78" i="36"/>
  <c r="N78" i="36" s="1"/>
  <c r="D54" i="36"/>
  <c r="J75" i="36"/>
  <c r="K75" i="36" s="1"/>
  <c r="J77" i="36"/>
  <c r="K77" i="36" s="1"/>
  <c r="K15" i="36"/>
  <c r="F40" i="36"/>
  <c r="M74" i="36"/>
  <c r="N74" i="36" s="1"/>
  <c r="J78" i="36"/>
  <c r="K78" i="36" s="1"/>
  <c r="P74" i="36" l="1"/>
  <c r="G177" i="46"/>
  <c r="F167" i="46"/>
  <c r="I75" i="46"/>
  <c r="I133" i="46"/>
  <c r="R79" i="36"/>
  <c r="P79" i="36"/>
  <c r="F41" i="36"/>
  <c r="F43" i="36" s="1"/>
  <c r="F44" i="36" s="1"/>
  <c r="F20" i="42" s="1"/>
  <c r="F18" i="46" s="1"/>
  <c r="G217" i="46"/>
  <c r="L14" i="42"/>
  <c r="L13" i="46" s="1"/>
  <c r="F217" i="46"/>
  <c r="L10" i="42"/>
  <c r="L9" i="46" s="1"/>
  <c r="L13" i="42"/>
  <c r="L12" i="46" s="1"/>
  <c r="I80" i="46"/>
  <c r="D51" i="46"/>
  <c r="I92" i="46"/>
  <c r="I149" i="46"/>
  <c r="I138" i="46"/>
  <c r="F49" i="46"/>
  <c r="G49" i="46"/>
  <c r="D52" i="46"/>
  <c r="F47" i="46"/>
  <c r="G47" i="46"/>
  <c r="K16" i="42"/>
  <c r="I144" i="46"/>
  <c r="I87" i="46"/>
  <c r="D46" i="46"/>
  <c r="K15" i="46"/>
  <c r="F50" i="46"/>
  <c r="G50" i="46"/>
  <c r="I77" i="46"/>
  <c r="I89" i="46"/>
  <c r="I135" i="46"/>
  <c r="I146" i="46"/>
  <c r="D48" i="46"/>
  <c r="H98" i="36"/>
  <c r="F56" i="36" s="1"/>
  <c r="G56" i="36" s="1"/>
  <c r="R77" i="36"/>
  <c r="S77" i="36" s="1"/>
  <c r="L15" i="36"/>
  <c r="D59" i="36"/>
  <c r="P77" i="36"/>
  <c r="Q77" i="36" s="1"/>
  <c r="P75" i="36"/>
  <c r="Q76" i="36" s="1"/>
  <c r="R78" i="36"/>
  <c r="P78" i="36"/>
  <c r="R74" i="36"/>
  <c r="S76" i="36"/>
  <c r="D53" i="46" l="1"/>
  <c r="F45" i="36"/>
  <c r="F46" i="36"/>
  <c r="F53" i="36"/>
  <c r="G53" i="36" s="1"/>
  <c r="F58" i="36"/>
  <c r="G58" i="36" s="1"/>
  <c r="L15" i="46"/>
  <c r="F46" i="46"/>
  <c r="G46" i="46"/>
  <c r="F51" i="46"/>
  <c r="G51" i="46"/>
  <c r="F48" i="46"/>
  <c r="G48" i="46"/>
  <c r="F52" i="46"/>
  <c r="G52" i="46"/>
  <c r="F55" i="36"/>
  <c r="G55" i="36" s="1"/>
  <c r="F54" i="36"/>
  <c r="G54" i="36" s="1"/>
  <c r="F57" i="36"/>
  <c r="G57" i="36" s="1"/>
  <c r="S78" i="36"/>
  <c r="S79" i="36"/>
  <c r="Q78" i="36"/>
  <c r="Q79" i="36"/>
  <c r="F53" i="46" l="1"/>
  <c r="G53" i="46"/>
  <c r="G59" i="36"/>
  <c r="H57" i="36" s="1"/>
  <c r="F47" i="36"/>
  <c r="L47" i="36"/>
  <c r="H53" i="46" l="1"/>
  <c r="D57" i="46"/>
  <c r="D58" i="46" s="1"/>
  <c r="H58" i="36"/>
  <c r="I58" i="36" s="1"/>
  <c r="H53" i="36"/>
  <c r="I53" i="36" s="1"/>
  <c r="H54" i="36"/>
  <c r="I57" i="36"/>
  <c r="H56" i="36"/>
  <c r="I56" i="36" s="1"/>
  <c r="H55" i="36"/>
  <c r="I55" i="36" s="1"/>
  <c r="D105" i="46" l="1"/>
  <c r="G105" i="46" s="1"/>
  <c r="L57" i="36"/>
  <c r="H59" i="36"/>
  <c r="I54" i="36"/>
  <c r="I59" i="36" s="1"/>
  <c r="D59" i="46"/>
  <c r="L56" i="36"/>
  <c r="L55" i="36"/>
  <c r="L53" i="36"/>
  <c r="L54" i="36" l="1"/>
  <c r="D104" i="46"/>
  <c r="E115" i="46" l="1"/>
  <c r="F115" i="46" s="1"/>
  <c r="E111" i="46"/>
  <c r="E116" i="46"/>
  <c r="F116" i="46" s="1"/>
  <c r="F366" i="46" s="1"/>
  <c r="E112" i="46"/>
  <c r="F112" i="46" s="1"/>
  <c r="F362" i="46" s="1"/>
  <c r="G104" i="46"/>
  <c r="F117" i="46"/>
  <c r="F367" i="46" s="1"/>
  <c r="E113" i="46"/>
  <c r="F113" i="46" s="1"/>
  <c r="F363" i="46" s="1"/>
  <c r="E114" i="46"/>
  <c r="F114" i="46" s="1"/>
  <c r="F364" i="46" s="1"/>
  <c r="F111" i="46" l="1"/>
  <c r="F361" i="46" s="1"/>
  <c r="H164" i="46"/>
  <c r="I164" i="46" s="1"/>
  <c r="F365" i="46"/>
  <c r="F316" i="46"/>
  <c r="E137" i="46"/>
  <c r="H161" i="46"/>
  <c r="I161" i="46" s="1"/>
  <c r="E148" i="46"/>
  <c r="E134" i="46"/>
  <c r="E145" i="46"/>
  <c r="H166" i="46"/>
  <c r="I166" i="46" s="1"/>
  <c r="F314" i="46"/>
  <c r="H165" i="46"/>
  <c r="I165" i="46" s="1"/>
  <c r="F311" i="46"/>
  <c r="H162" i="46"/>
  <c r="I162" i="46" s="1"/>
  <c r="E149" i="46"/>
  <c r="F315" i="46"/>
  <c r="E138" i="46"/>
  <c r="E146" i="46"/>
  <c r="E135" i="46"/>
  <c r="F312" i="46"/>
  <c r="F313" i="46"/>
  <c r="E136" i="46"/>
  <c r="E147" i="46"/>
  <c r="H163" i="46"/>
  <c r="I163" i="46" s="1"/>
  <c r="E133" i="46" l="1"/>
  <c r="E144" i="46"/>
  <c r="H160" i="46"/>
  <c r="I160" i="46" s="1"/>
  <c r="I167" i="46" s="1"/>
  <c r="F310" i="46"/>
  <c r="C26" i="17" l="1"/>
  <c r="D178" i="46" s="1"/>
  <c r="D860" i="17"/>
  <c r="D859" i="17"/>
  <c r="D858" i="17"/>
  <c r="D857" i="17"/>
  <c r="D856" i="17"/>
  <c r="D855" i="17"/>
  <c r="D854" i="17"/>
  <c r="D853" i="17"/>
  <c r="G853" i="17" s="1"/>
  <c r="D852" i="17"/>
  <c r="D851" i="17"/>
  <c r="D850" i="17"/>
  <c r="D849" i="17"/>
  <c r="D848" i="17"/>
  <c r="D847" i="17"/>
  <c r="D846" i="17"/>
  <c r="D845" i="17"/>
  <c r="G845" i="17" s="1"/>
  <c r="D844" i="17"/>
  <c r="D843" i="17"/>
  <c r="D842" i="17"/>
  <c r="D841" i="17"/>
  <c r="D840" i="17"/>
  <c r="D839" i="17"/>
  <c r="D838" i="17"/>
  <c r="D837" i="17"/>
  <c r="G837" i="17" s="1"/>
  <c r="D836" i="17"/>
  <c r="D835" i="17"/>
  <c r="D834" i="17"/>
  <c r="D833" i="17"/>
  <c r="D832" i="17"/>
  <c r="D831" i="17"/>
  <c r="D830" i="17"/>
  <c r="D829" i="17"/>
  <c r="G829" i="17" s="1"/>
  <c r="D828" i="17"/>
  <c r="D827" i="17"/>
  <c r="D826" i="17"/>
  <c r="D825" i="17"/>
  <c r="D824" i="17"/>
  <c r="D823" i="17"/>
  <c r="G823" i="17" s="1"/>
  <c r="D822" i="17"/>
  <c r="D821" i="17"/>
  <c r="G821" i="17" s="1"/>
  <c r="D820" i="17"/>
  <c r="D819" i="17"/>
  <c r="D818" i="17"/>
  <c r="D817" i="17"/>
  <c r="D816" i="17"/>
  <c r="D815" i="17"/>
  <c r="D814" i="17"/>
  <c r="D813" i="17"/>
  <c r="G813" i="17" s="1"/>
  <c r="D812" i="17"/>
  <c r="D811" i="17"/>
  <c r="D810" i="17"/>
  <c r="D809" i="17"/>
  <c r="D808" i="17"/>
  <c r="D807" i="17"/>
  <c r="G807" i="17" s="1"/>
  <c r="D806" i="17"/>
  <c r="D805" i="17"/>
  <c r="G805" i="17" s="1"/>
  <c r="D804" i="17"/>
  <c r="D803" i="17"/>
  <c r="D802" i="17"/>
  <c r="D801" i="17"/>
  <c r="D800" i="17"/>
  <c r="D799" i="17"/>
  <c r="D798" i="17"/>
  <c r="D797" i="17"/>
  <c r="G797" i="17" s="1"/>
  <c r="D796" i="17"/>
  <c r="D795" i="17"/>
  <c r="D794" i="17"/>
  <c r="D793" i="17"/>
  <c r="D792" i="17"/>
  <c r="D791" i="17"/>
  <c r="D790" i="17"/>
  <c r="D789" i="17"/>
  <c r="G789" i="17" s="1"/>
  <c r="D788" i="17"/>
  <c r="D787" i="17"/>
  <c r="D786" i="17"/>
  <c r="D785" i="17"/>
  <c r="D784" i="17"/>
  <c r="D783" i="17"/>
  <c r="D782" i="17"/>
  <c r="D781" i="17"/>
  <c r="G781" i="17" s="1"/>
  <c r="D780" i="17"/>
  <c r="D779" i="17"/>
  <c r="D778" i="17"/>
  <c r="D777" i="17"/>
  <c r="D776" i="17"/>
  <c r="D775" i="17"/>
  <c r="G775" i="17" s="1"/>
  <c r="D774" i="17"/>
  <c r="D773" i="17"/>
  <c r="G773" i="17" s="1"/>
  <c r="D772" i="17"/>
  <c r="D771" i="17"/>
  <c r="D770" i="17"/>
  <c r="D769" i="17"/>
  <c r="D768" i="17"/>
  <c r="D767" i="17"/>
  <c r="D766" i="17"/>
  <c r="D765" i="17"/>
  <c r="G765" i="17" s="1"/>
  <c r="D764" i="17"/>
  <c r="D763" i="17"/>
  <c r="D762" i="17"/>
  <c r="D761" i="17"/>
  <c r="D760" i="17"/>
  <c r="D759" i="17"/>
  <c r="G759" i="17" s="1"/>
  <c r="D758" i="17"/>
  <c r="D757" i="17"/>
  <c r="G757" i="17" s="1"/>
  <c r="D756" i="17"/>
  <c r="D755" i="17"/>
  <c r="D754" i="17"/>
  <c r="D753" i="17"/>
  <c r="D752" i="17"/>
  <c r="D751" i="17"/>
  <c r="D750" i="17"/>
  <c r="D749" i="17"/>
  <c r="G749" i="17" s="1"/>
  <c r="D748" i="17"/>
  <c r="D747" i="17"/>
  <c r="D746" i="17"/>
  <c r="G746" i="17" s="1"/>
  <c r="D745" i="17"/>
  <c r="D744" i="17"/>
  <c r="D743" i="17"/>
  <c r="D742" i="17"/>
  <c r="D741" i="17"/>
  <c r="G741" i="17" s="1"/>
  <c r="D740" i="17"/>
  <c r="D739" i="17"/>
  <c r="D738" i="17"/>
  <c r="D737" i="17"/>
  <c r="D736" i="17"/>
  <c r="D735" i="17"/>
  <c r="D734" i="17"/>
  <c r="D733" i="17"/>
  <c r="D732" i="17"/>
  <c r="D731" i="17"/>
  <c r="D730" i="17"/>
  <c r="D729" i="17"/>
  <c r="D728" i="17"/>
  <c r="D727" i="17"/>
  <c r="G727" i="17" s="1"/>
  <c r="D726" i="17"/>
  <c r="D725" i="17"/>
  <c r="D724" i="17"/>
  <c r="D723" i="17"/>
  <c r="D722" i="17"/>
  <c r="D721" i="17"/>
  <c r="D720" i="17"/>
  <c r="D719" i="17"/>
  <c r="G719" i="17" s="1"/>
  <c r="D718" i="17"/>
  <c r="D717" i="17"/>
  <c r="D716" i="17"/>
  <c r="D715" i="17"/>
  <c r="D714" i="17"/>
  <c r="D713" i="17"/>
  <c r="D712" i="17"/>
  <c r="D711" i="17"/>
  <c r="G711" i="17" s="1"/>
  <c r="D710" i="17"/>
  <c r="D709" i="17"/>
  <c r="D708" i="17"/>
  <c r="D707" i="17"/>
  <c r="D706" i="17"/>
  <c r="D705" i="17"/>
  <c r="D704" i="17"/>
  <c r="D703" i="17"/>
  <c r="G703" i="17" s="1"/>
  <c r="D702" i="17"/>
  <c r="D701" i="17"/>
  <c r="D700" i="17"/>
  <c r="D699" i="17"/>
  <c r="D698" i="17"/>
  <c r="D697" i="17"/>
  <c r="D696" i="17"/>
  <c r="D695" i="17"/>
  <c r="G695" i="17" s="1"/>
  <c r="D694" i="17"/>
  <c r="D693" i="17"/>
  <c r="D692" i="17"/>
  <c r="D691" i="17"/>
  <c r="D690" i="17"/>
  <c r="D689" i="17"/>
  <c r="D688" i="17"/>
  <c r="D687" i="17"/>
  <c r="G687" i="17" s="1"/>
  <c r="D686" i="17"/>
  <c r="D685" i="17"/>
  <c r="D684" i="17"/>
  <c r="D683" i="17"/>
  <c r="D682" i="17"/>
  <c r="D681" i="17"/>
  <c r="D680" i="17"/>
  <c r="D679" i="17"/>
  <c r="G679" i="17" s="1"/>
  <c r="D678" i="17"/>
  <c r="D677" i="17"/>
  <c r="D676" i="17"/>
  <c r="D675" i="17"/>
  <c r="D674" i="17"/>
  <c r="D673" i="17"/>
  <c r="D672" i="17"/>
  <c r="D671" i="17"/>
  <c r="G671" i="17" s="1"/>
  <c r="D670" i="17"/>
  <c r="D669" i="17"/>
  <c r="D668" i="17"/>
  <c r="D667" i="17"/>
  <c r="D666" i="17"/>
  <c r="D665" i="17"/>
  <c r="D664" i="17"/>
  <c r="D663" i="17"/>
  <c r="G663" i="17" s="1"/>
  <c r="D662" i="17"/>
  <c r="D661" i="17"/>
  <c r="D660" i="17"/>
  <c r="D659" i="17"/>
  <c r="D658" i="17"/>
  <c r="D657" i="17"/>
  <c r="D656" i="17"/>
  <c r="D655" i="17"/>
  <c r="G655" i="17" s="1"/>
  <c r="D654" i="17"/>
  <c r="D653" i="17"/>
  <c r="D652" i="17"/>
  <c r="D651" i="17"/>
  <c r="D650" i="17"/>
  <c r="D649" i="17"/>
  <c r="D648" i="17"/>
  <c r="D647" i="17"/>
  <c r="G647" i="17" s="1"/>
  <c r="D646" i="17"/>
  <c r="D645" i="17"/>
  <c r="D644" i="17"/>
  <c r="D643" i="17"/>
  <c r="D642" i="17"/>
  <c r="D641" i="17"/>
  <c r="D640" i="17"/>
  <c r="D639" i="17"/>
  <c r="G639" i="17" s="1"/>
  <c r="D638" i="17"/>
  <c r="D637" i="17"/>
  <c r="D636" i="17"/>
  <c r="D635" i="17"/>
  <c r="D634" i="17"/>
  <c r="D633" i="17"/>
  <c r="D632" i="17"/>
  <c r="D631" i="17"/>
  <c r="G631" i="17" s="1"/>
  <c r="D630" i="17"/>
  <c r="D629" i="17"/>
  <c r="D628" i="17"/>
  <c r="D627" i="17"/>
  <c r="D626" i="17"/>
  <c r="D625" i="17"/>
  <c r="D624" i="17"/>
  <c r="D623" i="17"/>
  <c r="G623" i="17" s="1"/>
  <c r="D622" i="17"/>
  <c r="D621" i="17"/>
  <c r="D620" i="17"/>
  <c r="D619" i="17"/>
  <c r="D618" i="17"/>
  <c r="D617" i="17"/>
  <c r="D616" i="17"/>
  <c r="D615" i="17"/>
  <c r="G615" i="17" s="1"/>
  <c r="D614" i="17"/>
  <c r="D613" i="17"/>
  <c r="D612" i="17"/>
  <c r="D611" i="17"/>
  <c r="D610" i="17"/>
  <c r="D609" i="17"/>
  <c r="D608" i="17"/>
  <c r="D607" i="17"/>
  <c r="G607" i="17" s="1"/>
  <c r="D606" i="17"/>
  <c r="D605" i="17"/>
  <c r="D604" i="17"/>
  <c r="D603" i="17"/>
  <c r="D602" i="17"/>
  <c r="D601" i="17"/>
  <c r="D600" i="17"/>
  <c r="D599" i="17"/>
  <c r="G599" i="17" s="1"/>
  <c r="D598" i="17"/>
  <c r="D597" i="17"/>
  <c r="D596" i="17"/>
  <c r="D595" i="17"/>
  <c r="D594" i="17"/>
  <c r="D593" i="17"/>
  <c r="D592" i="17"/>
  <c r="D591" i="17"/>
  <c r="G591" i="17" s="1"/>
  <c r="D590" i="17"/>
  <c r="D589" i="17"/>
  <c r="D588" i="17"/>
  <c r="D587" i="17"/>
  <c r="D586" i="17"/>
  <c r="D585" i="17"/>
  <c r="D584" i="17"/>
  <c r="D583" i="17"/>
  <c r="G583" i="17" s="1"/>
  <c r="D582" i="17"/>
  <c r="D581" i="17"/>
  <c r="D580" i="17"/>
  <c r="D579" i="17"/>
  <c r="D578" i="17"/>
  <c r="D577" i="17"/>
  <c r="D576" i="17"/>
  <c r="D575" i="17"/>
  <c r="G575" i="17" s="1"/>
  <c r="D574" i="17"/>
  <c r="D573" i="17"/>
  <c r="D572" i="17"/>
  <c r="D571" i="17"/>
  <c r="D570" i="17"/>
  <c r="D569" i="17"/>
  <c r="D568" i="17"/>
  <c r="D567" i="17"/>
  <c r="G567" i="17" s="1"/>
  <c r="D566" i="17"/>
  <c r="D565" i="17"/>
  <c r="D564" i="17"/>
  <c r="D563" i="17"/>
  <c r="D562" i="17"/>
  <c r="D561" i="17"/>
  <c r="D560" i="17"/>
  <c r="D559" i="17"/>
  <c r="G559" i="17" s="1"/>
  <c r="D558" i="17"/>
  <c r="D557" i="17"/>
  <c r="D556" i="17"/>
  <c r="D555" i="17"/>
  <c r="D554" i="17"/>
  <c r="D553" i="17"/>
  <c r="D552" i="17"/>
  <c r="D551" i="17"/>
  <c r="G551" i="17" s="1"/>
  <c r="D550" i="17"/>
  <c r="D549" i="17"/>
  <c r="D548" i="17"/>
  <c r="D547" i="17"/>
  <c r="D546" i="17"/>
  <c r="D545" i="17"/>
  <c r="D544" i="17"/>
  <c r="D543" i="17"/>
  <c r="G543" i="17" s="1"/>
  <c r="D542" i="17"/>
  <c r="D541" i="17"/>
  <c r="D540" i="17"/>
  <c r="D539" i="17"/>
  <c r="D538" i="17"/>
  <c r="D537" i="17"/>
  <c r="D536" i="17"/>
  <c r="D535" i="17"/>
  <c r="G535" i="17" s="1"/>
  <c r="D534" i="17"/>
  <c r="D533" i="17"/>
  <c r="D532" i="17"/>
  <c r="D531" i="17"/>
  <c r="D530" i="17"/>
  <c r="D529" i="17"/>
  <c r="D528" i="17"/>
  <c r="D527" i="17"/>
  <c r="G527" i="17" s="1"/>
  <c r="D526" i="17"/>
  <c r="D525" i="17"/>
  <c r="D524" i="17"/>
  <c r="D523" i="17"/>
  <c r="D522" i="17"/>
  <c r="D521" i="17"/>
  <c r="D520" i="17"/>
  <c r="D519" i="17"/>
  <c r="G519" i="17" s="1"/>
  <c r="D518" i="17"/>
  <c r="D517" i="17"/>
  <c r="D516" i="17"/>
  <c r="D515" i="17"/>
  <c r="D514" i="17"/>
  <c r="D513" i="17"/>
  <c r="D512" i="17"/>
  <c r="D511" i="17"/>
  <c r="G511" i="17" s="1"/>
  <c r="D510" i="17"/>
  <c r="D509" i="17"/>
  <c r="D508" i="17"/>
  <c r="D507" i="17"/>
  <c r="D506" i="17"/>
  <c r="D505" i="17"/>
  <c r="D504" i="17"/>
  <c r="D503" i="17"/>
  <c r="G503" i="17" s="1"/>
  <c r="D502" i="17"/>
  <c r="D501" i="17"/>
  <c r="D500" i="17"/>
  <c r="D499" i="17"/>
  <c r="D498" i="17"/>
  <c r="D497" i="17"/>
  <c r="D496" i="17"/>
  <c r="D495" i="17"/>
  <c r="G495" i="17" s="1"/>
  <c r="D494" i="17"/>
  <c r="D493" i="17"/>
  <c r="D492" i="17"/>
  <c r="D491" i="17"/>
  <c r="D490" i="17"/>
  <c r="D489" i="17"/>
  <c r="D488" i="17"/>
  <c r="D487" i="17"/>
  <c r="G487" i="17" s="1"/>
  <c r="D486" i="17"/>
  <c r="D485" i="17"/>
  <c r="D484" i="17"/>
  <c r="D483" i="17"/>
  <c r="D482" i="17"/>
  <c r="D481" i="17"/>
  <c r="D480" i="17"/>
  <c r="D479" i="17"/>
  <c r="G479" i="17" s="1"/>
  <c r="D478" i="17"/>
  <c r="D477" i="17"/>
  <c r="D476" i="17"/>
  <c r="D475" i="17"/>
  <c r="D474" i="17"/>
  <c r="D473" i="17"/>
  <c r="D472" i="17"/>
  <c r="D471" i="17"/>
  <c r="G471" i="17" s="1"/>
  <c r="D470" i="17"/>
  <c r="D469" i="17"/>
  <c r="D468" i="17"/>
  <c r="D467" i="17"/>
  <c r="D466" i="17"/>
  <c r="D465" i="17"/>
  <c r="D464" i="17"/>
  <c r="D463" i="17"/>
  <c r="G463" i="17" s="1"/>
  <c r="D462" i="17"/>
  <c r="D461" i="17"/>
  <c r="D460" i="17"/>
  <c r="D459" i="17"/>
  <c r="D458" i="17"/>
  <c r="D457" i="17"/>
  <c r="D456" i="17"/>
  <c r="D455" i="17"/>
  <c r="G455" i="17" s="1"/>
  <c r="D454" i="17"/>
  <c r="G454" i="17" s="1"/>
  <c r="D453" i="17"/>
  <c r="D452" i="17"/>
  <c r="D451" i="17"/>
  <c r="D450" i="17"/>
  <c r="D449" i="17"/>
  <c r="D448" i="17"/>
  <c r="D447" i="17"/>
  <c r="G447" i="17" s="1"/>
  <c r="D446" i="17"/>
  <c r="G446" i="17" s="1"/>
  <c r="D445" i="17"/>
  <c r="D444" i="17"/>
  <c r="D443" i="17"/>
  <c r="D442" i="17"/>
  <c r="G442" i="17" s="1"/>
  <c r="D441" i="17"/>
  <c r="D440" i="17"/>
  <c r="D439" i="17"/>
  <c r="G439" i="17" s="1"/>
  <c r="D438" i="17"/>
  <c r="G438" i="17" s="1"/>
  <c r="D437" i="17"/>
  <c r="D436" i="17"/>
  <c r="D435" i="17"/>
  <c r="G435" i="17" s="1"/>
  <c r="D434" i="17"/>
  <c r="G434" i="17" s="1"/>
  <c r="D433" i="17"/>
  <c r="D432" i="17"/>
  <c r="D431" i="17"/>
  <c r="G431" i="17" s="1"/>
  <c r="D430" i="17"/>
  <c r="G430" i="17" s="1"/>
  <c r="D429" i="17"/>
  <c r="D428" i="17"/>
  <c r="D427" i="17"/>
  <c r="G427" i="17" s="1"/>
  <c r="D426" i="17"/>
  <c r="G426" i="17" s="1"/>
  <c r="D425" i="17"/>
  <c r="D424" i="17"/>
  <c r="D423" i="17"/>
  <c r="G423" i="17" s="1"/>
  <c r="D422" i="17"/>
  <c r="D421" i="17"/>
  <c r="D420" i="17"/>
  <c r="D419" i="17"/>
  <c r="G419" i="17" s="1"/>
  <c r="D418" i="17"/>
  <c r="G418" i="17" s="1"/>
  <c r="D417" i="17"/>
  <c r="D416" i="17"/>
  <c r="D415" i="17"/>
  <c r="G415" i="17" s="1"/>
  <c r="D414" i="17"/>
  <c r="G414" i="17" s="1"/>
  <c r="D413" i="17"/>
  <c r="D412" i="17"/>
  <c r="D411" i="17"/>
  <c r="G411" i="17" s="1"/>
  <c r="D410" i="17"/>
  <c r="G410" i="17" s="1"/>
  <c r="D409" i="17"/>
  <c r="D408" i="17"/>
  <c r="D407" i="17"/>
  <c r="G407" i="17" s="1"/>
  <c r="D406" i="17"/>
  <c r="G406" i="17" s="1"/>
  <c r="D405" i="17"/>
  <c r="D404" i="17"/>
  <c r="D403" i="17"/>
  <c r="G403" i="17" s="1"/>
  <c r="D402" i="17"/>
  <c r="G402" i="17" s="1"/>
  <c r="D401" i="17"/>
  <c r="D400" i="17"/>
  <c r="D399" i="17"/>
  <c r="G399" i="17" s="1"/>
  <c r="D398" i="17"/>
  <c r="D397" i="17"/>
  <c r="D396" i="17"/>
  <c r="D395" i="17"/>
  <c r="G395" i="17" s="1"/>
  <c r="D394" i="17"/>
  <c r="G394" i="17" s="1"/>
  <c r="D393" i="17"/>
  <c r="D392" i="17"/>
  <c r="D391" i="17"/>
  <c r="G391" i="17" s="1"/>
  <c r="D390" i="17"/>
  <c r="G390" i="17" s="1"/>
  <c r="D389" i="17"/>
  <c r="G389" i="17" s="1"/>
  <c r="D388" i="17"/>
  <c r="D387" i="17"/>
  <c r="G387" i="17" s="1"/>
  <c r="D386" i="17"/>
  <c r="G386" i="17" s="1"/>
  <c r="D385" i="17"/>
  <c r="D384" i="17"/>
  <c r="D383" i="17"/>
  <c r="G383" i="17" s="1"/>
  <c r="D382" i="17"/>
  <c r="G382" i="17" s="1"/>
  <c r="D381" i="17"/>
  <c r="G381" i="17" s="1"/>
  <c r="D380" i="17"/>
  <c r="D379" i="17"/>
  <c r="G379" i="17" s="1"/>
  <c r="D378" i="17"/>
  <c r="G378" i="17" s="1"/>
  <c r="D377" i="17"/>
  <c r="D376" i="17"/>
  <c r="D375" i="17"/>
  <c r="G375" i="17" s="1"/>
  <c r="D374" i="17"/>
  <c r="G374" i="17" s="1"/>
  <c r="D373" i="17"/>
  <c r="G373" i="17" s="1"/>
  <c r="D372" i="17"/>
  <c r="D371" i="17"/>
  <c r="G371" i="17" s="1"/>
  <c r="D370" i="17"/>
  <c r="G370" i="17" s="1"/>
  <c r="D369" i="17"/>
  <c r="D368" i="17"/>
  <c r="D367" i="17"/>
  <c r="G367" i="17" s="1"/>
  <c r="D366" i="17"/>
  <c r="G366" i="17" s="1"/>
  <c r="D365" i="17"/>
  <c r="G365" i="17" s="1"/>
  <c r="D364" i="17"/>
  <c r="D363" i="17"/>
  <c r="G363" i="17" s="1"/>
  <c r="D362" i="17"/>
  <c r="G362" i="17" s="1"/>
  <c r="D361" i="17"/>
  <c r="D360" i="17"/>
  <c r="D359" i="17"/>
  <c r="G359" i="17" s="1"/>
  <c r="D358" i="17"/>
  <c r="G358" i="17" s="1"/>
  <c r="D357" i="17"/>
  <c r="G357" i="17" s="1"/>
  <c r="D356" i="17"/>
  <c r="D355" i="17"/>
  <c r="G355" i="17" s="1"/>
  <c r="D354" i="17"/>
  <c r="G354" i="17" s="1"/>
  <c r="D353" i="17"/>
  <c r="D352" i="17"/>
  <c r="D351" i="17"/>
  <c r="G351" i="17" s="1"/>
  <c r="D350" i="17"/>
  <c r="G350" i="17" s="1"/>
  <c r="D349" i="17"/>
  <c r="G349" i="17" s="1"/>
  <c r="D348" i="17"/>
  <c r="D347" i="17"/>
  <c r="G347" i="17" s="1"/>
  <c r="D346" i="17"/>
  <c r="G346" i="17" s="1"/>
  <c r="D345" i="17"/>
  <c r="D344" i="17"/>
  <c r="D343" i="17"/>
  <c r="G343" i="17" s="1"/>
  <c r="D342" i="17"/>
  <c r="G342" i="17" s="1"/>
  <c r="D341" i="17"/>
  <c r="G341" i="17" s="1"/>
  <c r="D340" i="17"/>
  <c r="D339" i="17"/>
  <c r="G339" i="17" s="1"/>
  <c r="D338" i="17"/>
  <c r="G338" i="17" s="1"/>
  <c r="D337" i="17"/>
  <c r="D336" i="17"/>
  <c r="D335" i="17"/>
  <c r="G335" i="17" s="1"/>
  <c r="D334" i="17"/>
  <c r="G334" i="17" s="1"/>
  <c r="D333" i="17"/>
  <c r="G333" i="17" s="1"/>
  <c r="D332" i="17"/>
  <c r="D331" i="17"/>
  <c r="G331" i="17" s="1"/>
  <c r="D330" i="17"/>
  <c r="G330" i="17" s="1"/>
  <c r="D329" i="17"/>
  <c r="D328" i="17"/>
  <c r="D327" i="17"/>
  <c r="G327" i="17" s="1"/>
  <c r="D326" i="17"/>
  <c r="G326" i="17" s="1"/>
  <c r="D325" i="17"/>
  <c r="G325" i="17" s="1"/>
  <c r="D324" i="17"/>
  <c r="D323" i="17"/>
  <c r="G323" i="17" s="1"/>
  <c r="D322" i="17"/>
  <c r="G322" i="17" s="1"/>
  <c r="D321" i="17"/>
  <c r="D320" i="17"/>
  <c r="D319" i="17"/>
  <c r="G319" i="17" s="1"/>
  <c r="D318" i="17"/>
  <c r="G318" i="17" s="1"/>
  <c r="D317" i="17"/>
  <c r="G317" i="17" s="1"/>
  <c r="D316" i="17"/>
  <c r="D315" i="17"/>
  <c r="G315" i="17" s="1"/>
  <c r="D314" i="17"/>
  <c r="G314" i="17" s="1"/>
  <c r="D313" i="17"/>
  <c r="D312" i="17"/>
  <c r="D311" i="17"/>
  <c r="G311" i="17" s="1"/>
  <c r="D310" i="17"/>
  <c r="G310" i="17" s="1"/>
  <c r="D309" i="17"/>
  <c r="G309" i="17" s="1"/>
  <c r="D308" i="17"/>
  <c r="D307" i="17"/>
  <c r="G307" i="17" s="1"/>
  <c r="D306" i="17"/>
  <c r="G306" i="17" s="1"/>
  <c r="D305" i="17"/>
  <c r="D304" i="17"/>
  <c r="D303" i="17"/>
  <c r="G303" i="17" s="1"/>
  <c r="D302" i="17"/>
  <c r="G302" i="17" s="1"/>
  <c r="D301" i="17"/>
  <c r="G301" i="17" s="1"/>
  <c r="D300" i="17"/>
  <c r="D299" i="17"/>
  <c r="G299" i="17" s="1"/>
  <c r="D298" i="17"/>
  <c r="G298" i="17" s="1"/>
  <c r="D297" i="17"/>
  <c r="D296" i="17"/>
  <c r="D295" i="17"/>
  <c r="G295" i="17" s="1"/>
  <c r="D294" i="17"/>
  <c r="D293" i="17"/>
  <c r="G293" i="17" s="1"/>
  <c r="D292" i="17"/>
  <c r="D291" i="17"/>
  <c r="G291" i="17" s="1"/>
  <c r="D290" i="17"/>
  <c r="G290" i="17" s="1"/>
  <c r="D289" i="17"/>
  <c r="D288" i="17"/>
  <c r="D287" i="17"/>
  <c r="G287" i="17" s="1"/>
  <c r="D286" i="17"/>
  <c r="G286" i="17" s="1"/>
  <c r="D285" i="17"/>
  <c r="G285" i="17" s="1"/>
  <c r="D284" i="17"/>
  <c r="D283" i="17"/>
  <c r="G283" i="17" s="1"/>
  <c r="D282" i="17"/>
  <c r="G282" i="17" s="1"/>
  <c r="D281" i="17"/>
  <c r="D280" i="17"/>
  <c r="D279" i="17"/>
  <c r="G279" i="17" s="1"/>
  <c r="D278" i="17"/>
  <c r="G278" i="17" s="1"/>
  <c r="D277" i="17"/>
  <c r="G277" i="17" s="1"/>
  <c r="D276" i="17"/>
  <c r="D275" i="17"/>
  <c r="G275" i="17" s="1"/>
  <c r="D274" i="17"/>
  <c r="G274" i="17" s="1"/>
  <c r="D273" i="17"/>
  <c r="D272" i="17"/>
  <c r="D271" i="17"/>
  <c r="G271" i="17" s="1"/>
  <c r="D270" i="17"/>
  <c r="G270" i="17" s="1"/>
  <c r="D269" i="17"/>
  <c r="G269" i="17" s="1"/>
  <c r="D268" i="17"/>
  <c r="D267" i="17"/>
  <c r="G267" i="17" s="1"/>
  <c r="D266" i="17"/>
  <c r="G266" i="17" s="1"/>
  <c r="D265" i="17"/>
  <c r="D264" i="17"/>
  <c r="D263" i="17"/>
  <c r="G263" i="17" s="1"/>
  <c r="D262" i="17"/>
  <c r="G262" i="17" s="1"/>
  <c r="D261" i="17"/>
  <c r="G261" i="17" s="1"/>
  <c r="D260" i="17"/>
  <c r="D259" i="17"/>
  <c r="G259" i="17" s="1"/>
  <c r="D258" i="17"/>
  <c r="G258" i="17" s="1"/>
  <c r="D257" i="17"/>
  <c r="D256" i="17"/>
  <c r="D255" i="17"/>
  <c r="G255" i="17" s="1"/>
  <c r="D254" i="17"/>
  <c r="G254" i="17" s="1"/>
  <c r="D253" i="17"/>
  <c r="G253" i="17" s="1"/>
  <c r="D252" i="17"/>
  <c r="D251" i="17"/>
  <c r="G251" i="17" s="1"/>
  <c r="D250" i="17"/>
  <c r="G250" i="17" s="1"/>
  <c r="D249" i="17"/>
  <c r="D248" i="17"/>
  <c r="D247" i="17"/>
  <c r="G247" i="17" s="1"/>
  <c r="D246" i="17"/>
  <c r="G246" i="17" s="1"/>
  <c r="D245" i="17"/>
  <c r="G245" i="17" s="1"/>
  <c r="D244" i="17"/>
  <c r="D243" i="17"/>
  <c r="G243" i="17" s="1"/>
  <c r="D242" i="17"/>
  <c r="G242" i="17" s="1"/>
  <c r="D241" i="17"/>
  <c r="D240" i="17"/>
  <c r="D239" i="17"/>
  <c r="G239" i="17" s="1"/>
  <c r="D238" i="17"/>
  <c r="G238" i="17" s="1"/>
  <c r="D237" i="17"/>
  <c r="G237" i="17" s="1"/>
  <c r="D236" i="17"/>
  <c r="D235" i="17"/>
  <c r="G235" i="17" s="1"/>
  <c r="D234" i="17"/>
  <c r="G234" i="17" s="1"/>
  <c r="D233" i="17"/>
  <c r="D232" i="17"/>
  <c r="D231" i="17"/>
  <c r="G231" i="17" s="1"/>
  <c r="D230" i="17"/>
  <c r="D229" i="17"/>
  <c r="G229" i="17" s="1"/>
  <c r="D228" i="17"/>
  <c r="D227" i="17"/>
  <c r="G227" i="17" s="1"/>
  <c r="D226" i="17"/>
  <c r="G226" i="17" s="1"/>
  <c r="D225" i="17"/>
  <c r="G225" i="17" s="1"/>
  <c r="D224" i="17"/>
  <c r="D223" i="17"/>
  <c r="G223" i="17" s="1"/>
  <c r="D222" i="17"/>
  <c r="G222" i="17" s="1"/>
  <c r="D221" i="17"/>
  <c r="G221" i="17" s="1"/>
  <c r="D220" i="17"/>
  <c r="D219" i="17"/>
  <c r="G219" i="17" s="1"/>
  <c r="D218" i="17"/>
  <c r="G218" i="17" s="1"/>
  <c r="D217" i="17"/>
  <c r="G217" i="17" s="1"/>
  <c r="D216" i="17"/>
  <c r="D215" i="17"/>
  <c r="G215" i="17" s="1"/>
  <c r="D214" i="17"/>
  <c r="G214" i="17" s="1"/>
  <c r="D213" i="17"/>
  <c r="G213" i="17" s="1"/>
  <c r="D212" i="17"/>
  <c r="D211" i="17"/>
  <c r="G211" i="17" s="1"/>
  <c r="D210" i="17"/>
  <c r="G210" i="17" s="1"/>
  <c r="D209" i="17"/>
  <c r="G209" i="17" s="1"/>
  <c r="D208" i="17"/>
  <c r="D207" i="17"/>
  <c r="G207" i="17" s="1"/>
  <c r="D206" i="17"/>
  <c r="G206" i="17" s="1"/>
  <c r="D205" i="17"/>
  <c r="G205" i="17" s="1"/>
  <c r="D204" i="17"/>
  <c r="G204" i="17" s="1"/>
  <c r="D203" i="17"/>
  <c r="G203" i="17" s="1"/>
  <c r="D202" i="17"/>
  <c r="G202" i="17" s="1"/>
  <c r="D201" i="17"/>
  <c r="G201" i="17" s="1"/>
  <c r="D200" i="17"/>
  <c r="G200" i="17" s="1"/>
  <c r="D199" i="17"/>
  <c r="G199" i="17" s="1"/>
  <c r="D198" i="17"/>
  <c r="G198" i="17" s="1"/>
  <c r="D197" i="17"/>
  <c r="G197" i="17" s="1"/>
  <c r="D196" i="17"/>
  <c r="G196" i="17" s="1"/>
  <c r="D195" i="17"/>
  <c r="G195" i="17" s="1"/>
  <c r="D194" i="17"/>
  <c r="G194" i="17" s="1"/>
  <c r="D193" i="17"/>
  <c r="G193" i="17" s="1"/>
  <c r="D192" i="17"/>
  <c r="G192" i="17" s="1"/>
  <c r="D191" i="17"/>
  <c r="G191" i="17" s="1"/>
  <c r="D190" i="17"/>
  <c r="G190" i="17" s="1"/>
  <c r="D189" i="17"/>
  <c r="G189" i="17" s="1"/>
  <c r="D188" i="17"/>
  <c r="D187" i="17"/>
  <c r="G187" i="17" s="1"/>
  <c r="D186" i="17"/>
  <c r="G186" i="17" s="1"/>
  <c r="D185" i="17"/>
  <c r="D184" i="17"/>
  <c r="G184" i="17" s="1"/>
  <c r="D183" i="17"/>
  <c r="G183" i="17" s="1"/>
  <c r="D182" i="17"/>
  <c r="G182" i="17" s="1"/>
  <c r="D181" i="17"/>
  <c r="G181" i="17" s="1"/>
  <c r="D180" i="17"/>
  <c r="G180" i="17" s="1"/>
  <c r="D179" i="17"/>
  <c r="G179" i="17" s="1"/>
  <c r="D178" i="17"/>
  <c r="G178" i="17" s="1"/>
  <c r="D177" i="17"/>
  <c r="G177" i="17" s="1"/>
  <c r="D176" i="17"/>
  <c r="G176" i="17" s="1"/>
  <c r="D175" i="17"/>
  <c r="G175" i="17" s="1"/>
  <c r="D174" i="17"/>
  <c r="G174" i="17" s="1"/>
  <c r="D173" i="17"/>
  <c r="G173" i="17" s="1"/>
  <c r="D172" i="17"/>
  <c r="G172" i="17" s="1"/>
  <c r="D171" i="17"/>
  <c r="G171" i="17" s="1"/>
  <c r="D170" i="17"/>
  <c r="G170" i="17" s="1"/>
  <c r="D169" i="17"/>
  <c r="G169" i="17" s="1"/>
  <c r="D168" i="17"/>
  <c r="G168" i="17" s="1"/>
  <c r="D167" i="17"/>
  <c r="G167" i="17" s="1"/>
  <c r="D166" i="17"/>
  <c r="D165" i="17"/>
  <c r="G165" i="17" s="1"/>
  <c r="D164" i="17"/>
  <c r="G164" i="17" s="1"/>
  <c r="D163" i="17"/>
  <c r="G163" i="17" s="1"/>
  <c r="D162" i="17"/>
  <c r="G162" i="17" s="1"/>
  <c r="D161" i="17"/>
  <c r="G161" i="17" s="1"/>
  <c r="D160" i="17"/>
  <c r="G160" i="17" s="1"/>
  <c r="D159" i="17"/>
  <c r="G159" i="17" s="1"/>
  <c r="D158" i="17"/>
  <c r="G158" i="17" s="1"/>
  <c r="D157" i="17"/>
  <c r="G157" i="17" s="1"/>
  <c r="D156" i="17"/>
  <c r="D155" i="17"/>
  <c r="G155" i="17" s="1"/>
  <c r="D154" i="17"/>
  <c r="G154" i="17" s="1"/>
  <c r="D153" i="17"/>
  <c r="G153" i="17" s="1"/>
  <c r="D152" i="17"/>
  <c r="G152" i="17" s="1"/>
  <c r="D151" i="17"/>
  <c r="G151" i="17" s="1"/>
  <c r="D150" i="17"/>
  <c r="G150" i="17" s="1"/>
  <c r="D149" i="17"/>
  <c r="G149" i="17" s="1"/>
  <c r="D148" i="17"/>
  <c r="G148" i="17" s="1"/>
  <c r="D147" i="17"/>
  <c r="G147" i="17" s="1"/>
  <c r="D146" i="17"/>
  <c r="G146" i="17" s="1"/>
  <c r="D145" i="17"/>
  <c r="G145" i="17" s="1"/>
  <c r="D144" i="17"/>
  <c r="D143" i="17"/>
  <c r="G143" i="17" s="1"/>
  <c r="D142" i="17"/>
  <c r="G142" i="17" s="1"/>
  <c r="D141" i="17"/>
  <c r="G141" i="17" s="1"/>
  <c r="D140" i="17"/>
  <c r="G140" i="17" s="1"/>
  <c r="D139" i="17"/>
  <c r="G139" i="17" s="1"/>
  <c r="D138" i="17"/>
  <c r="G138" i="17" s="1"/>
  <c r="D137" i="17"/>
  <c r="G137" i="17" s="1"/>
  <c r="D136" i="17"/>
  <c r="G136" i="17" s="1"/>
  <c r="D135" i="17"/>
  <c r="G135" i="17" s="1"/>
  <c r="D134" i="17"/>
  <c r="G134" i="17" s="1"/>
  <c r="D133" i="17"/>
  <c r="G133" i="17" s="1"/>
  <c r="D132" i="17"/>
  <c r="G132" i="17" s="1"/>
  <c r="D131" i="17"/>
  <c r="G131" i="17" s="1"/>
  <c r="D130" i="17"/>
  <c r="G130" i="17" s="1"/>
  <c r="D129" i="17"/>
  <c r="G129" i="17" s="1"/>
  <c r="D128" i="17"/>
  <c r="G128" i="17" s="1"/>
  <c r="D127" i="17"/>
  <c r="G127" i="17" s="1"/>
  <c r="D126" i="17"/>
  <c r="G126" i="17" s="1"/>
  <c r="D125" i="17"/>
  <c r="G125" i="17" s="1"/>
  <c r="D124" i="17"/>
  <c r="G124" i="17" s="1"/>
  <c r="D123" i="17"/>
  <c r="G123" i="17" s="1"/>
  <c r="D122" i="17"/>
  <c r="G122" i="17" s="1"/>
  <c r="D121" i="17"/>
  <c r="D120" i="17"/>
  <c r="G120" i="17" s="1"/>
  <c r="D119" i="17"/>
  <c r="G119" i="17" s="1"/>
  <c r="D118" i="17"/>
  <c r="G118" i="17" s="1"/>
  <c r="D117" i="17"/>
  <c r="G117" i="17" s="1"/>
  <c r="D116" i="17"/>
  <c r="G116" i="17" s="1"/>
  <c r="D115" i="17"/>
  <c r="G115" i="17" s="1"/>
  <c r="D114" i="17"/>
  <c r="G114" i="17" s="1"/>
  <c r="D113" i="17"/>
  <c r="G113" i="17" s="1"/>
  <c r="D112" i="17"/>
  <c r="G112" i="17" s="1"/>
  <c r="D111" i="17"/>
  <c r="G111" i="17" s="1"/>
  <c r="D110" i="17"/>
  <c r="G110" i="17" s="1"/>
  <c r="D109" i="17"/>
  <c r="G109" i="17" s="1"/>
  <c r="D108" i="17"/>
  <c r="G108" i="17" s="1"/>
  <c r="D107" i="17"/>
  <c r="G107" i="17" s="1"/>
  <c r="D106" i="17"/>
  <c r="D105" i="17"/>
  <c r="G105" i="17" s="1"/>
  <c r="D104" i="17"/>
  <c r="G104" i="17" s="1"/>
  <c r="D103" i="17"/>
  <c r="D102" i="17"/>
  <c r="D101" i="17"/>
  <c r="G101" i="17" s="1"/>
  <c r="D100" i="17"/>
  <c r="G100" i="17" s="1"/>
  <c r="D99" i="17"/>
  <c r="D98" i="17"/>
  <c r="D97" i="17"/>
  <c r="G97" i="17" s="1"/>
  <c r="D96" i="17"/>
  <c r="G96" i="17" s="1"/>
  <c r="D95" i="17"/>
  <c r="D94" i="17"/>
  <c r="D93" i="17"/>
  <c r="G93" i="17" s="1"/>
  <c r="D92" i="17"/>
  <c r="G92" i="17" s="1"/>
  <c r="D91" i="17"/>
  <c r="G91" i="17" s="1"/>
  <c r="D90" i="17"/>
  <c r="D89" i="17"/>
  <c r="G89" i="17" s="1"/>
  <c r="D88" i="17"/>
  <c r="G88" i="17" s="1"/>
  <c r="D87" i="17"/>
  <c r="D86" i="17"/>
  <c r="D85" i="17"/>
  <c r="G85" i="17" s="1"/>
  <c r="D84" i="17"/>
  <c r="G84" i="17" s="1"/>
  <c r="D83" i="17"/>
  <c r="G83" i="17" s="1"/>
  <c r="D82" i="17"/>
  <c r="D81" i="17"/>
  <c r="G81" i="17" s="1"/>
  <c r="D80" i="17"/>
  <c r="G80" i="17" s="1"/>
  <c r="D79" i="17"/>
  <c r="D78" i="17"/>
  <c r="D77" i="17"/>
  <c r="G77" i="17" s="1"/>
  <c r="D76" i="17"/>
  <c r="G76" i="17" s="1"/>
  <c r="D75" i="17"/>
  <c r="G75" i="17" s="1"/>
  <c r="D74" i="17"/>
  <c r="D73" i="17"/>
  <c r="G73" i="17" s="1"/>
  <c r="D72" i="17"/>
  <c r="D71" i="17"/>
  <c r="D70" i="17"/>
  <c r="D69" i="17"/>
  <c r="G69" i="17" s="1"/>
  <c r="D68" i="17"/>
  <c r="G68" i="17" s="1"/>
  <c r="D67" i="17"/>
  <c r="G67" i="17" s="1"/>
  <c r="D66" i="17"/>
  <c r="D65" i="17"/>
  <c r="G65" i="17" s="1"/>
  <c r="D64" i="17"/>
  <c r="D63" i="17"/>
  <c r="D62" i="17"/>
  <c r="D61" i="17"/>
  <c r="G61" i="17" s="1"/>
  <c r="D60" i="17"/>
  <c r="G60" i="17" s="1"/>
  <c r="E58" i="17"/>
  <c r="G855" i="17" l="1"/>
  <c r="G778" i="17"/>
  <c r="G499" i="17"/>
  <c r="G507" i="17"/>
  <c r="G531" i="17"/>
  <c r="G539" i="17"/>
  <c r="G563" i="17"/>
  <c r="G571" i="17"/>
  <c r="G595" i="17"/>
  <c r="G603" i="17"/>
  <c r="G627" i="17"/>
  <c r="G635" i="17"/>
  <c r="G659" i="17"/>
  <c r="G667" i="17"/>
  <c r="G691" i="17"/>
  <c r="G699" i="17"/>
  <c r="G723" i="17"/>
  <c r="G731" i="17"/>
  <c r="G755" i="17"/>
  <c r="G216" i="17"/>
  <c r="G224" i="17"/>
  <c r="G232" i="17"/>
  <c r="G240" i="17"/>
  <c r="G248" i="17"/>
  <c r="G256" i="17"/>
  <c r="G264" i="17"/>
  <c r="G280" i="17"/>
  <c r="G288" i="17"/>
  <c r="G296" i="17"/>
  <c r="G304" i="17"/>
  <c r="G312" i="17"/>
  <c r="G320" i="17"/>
  <c r="G328" i="17"/>
  <c r="G344" i="17"/>
  <c r="G233" i="17"/>
  <c r="G241" i="17"/>
  <c r="G257" i="17"/>
  <c r="G265" i="17"/>
  <c r="G273" i="17"/>
  <c r="G281" i="17"/>
  <c r="G289" i="17"/>
  <c r="G297" i="17"/>
  <c r="G305" i="17"/>
  <c r="G321" i="17"/>
  <c r="G329" i="17"/>
  <c r="G337" i="17"/>
  <c r="G345" i="17"/>
  <c r="G353" i="17"/>
  <c r="G361" i="17"/>
  <c r="G369" i="17"/>
  <c r="G377" i="17"/>
  <c r="G385" i="17"/>
  <c r="G393" i="17"/>
  <c r="G401" i="17"/>
  <c r="G409" i="17"/>
  <c r="G417" i="17"/>
  <c r="G425" i="17"/>
  <c r="G745" i="17"/>
  <c r="G809" i="17"/>
  <c r="G786" i="17"/>
  <c r="G794" i="17"/>
  <c r="G802" i="17"/>
  <c r="G826" i="17"/>
  <c r="G771" i="17"/>
  <c r="G212" i="17"/>
  <c r="G220" i="17"/>
  <c r="G228" i="17"/>
  <c r="G236" i="17"/>
  <c r="G244" i="17"/>
  <c r="G252" i="17"/>
  <c r="G260" i="17"/>
  <c r="G268" i="17"/>
  <c r="G276" i="17"/>
  <c r="G292" i="17"/>
  <c r="G300" i="17"/>
  <c r="G308" i="17"/>
  <c r="G324" i="17"/>
  <c r="G332" i="17"/>
  <c r="G340" i="17"/>
  <c r="G404" i="17"/>
  <c r="G436" i="17"/>
  <c r="G532" i="17"/>
  <c r="G540" i="17"/>
  <c r="G564" i="17"/>
  <c r="G572" i="17"/>
  <c r="G604" i="17"/>
  <c r="G660" i="17"/>
  <c r="G668" i="17"/>
  <c r="G692" i="17"/>
  <c r="G740" i="17"/>
  <c r="G748" i="17"/>
  <c r="G756" i="17"/>
  <c r="G764" i="17"/>
  <c r="G772" i="17"/>
  <c r="G780" i="17"/>
  <c r="G788" i="17"/>
  <c r="G796" i="17"/>
  <c r="G804" i="17"/>
  <c r="G812" i="17"/>
  <c r="G820" i="17"/>
  <c r="G850" i="17"/>
  <c r="G858" i="17"/>
  <c r="G835" i="17"/>
  <c r="G851" i="17"/>
  <c r="G825" i="17"/>
  <c r="G857" i="17"/>
  <c r="G834" i="17"/>
  <c r="F348" i="17"/>
  <c r="E372" i="17"/>
  <c r="G828" i="17"/>
  <c r="G836" i="17"/>
  <c r="G844" i="17"/>
  <c r="G852" i="17"/>
  <c r="E804" i="17"/>
  <c r="G316" i="17"/>
  <c r="G803" i="17"/>
  <c r="G777" i="17"/>
  <c r="G754" i="17"/>
  <c r="G596" i="17"/>
  <c r="G860" i="17"/>
  <c r="G842" i="17"/>
  <c r="G819" i="17"/>
  <c r="G793" i="17"/>
  <c r="G770" i="17"/>
  <c r="G743" i="17"/>
  <c r="G284" i="17"/>
  <c r="G841" i="17"/>
  <c r="G818" i="17"/>
  <c r="G791" i="17"/>
  <c r="G762" i="17"/>
  <c r="G739" i="17"/>
  <c r="G188" i="17"/>
  <c r="G839" i="17"/>
  <c r="G810" i="17"/>
  <c r="G787" i="17"/>
  <c r="G761" i="17"/>
  <c r="G735" i="17"/>
  <c r="G156" i="17"/>
  <c r="G849" i="17"/>
  <c r="G833" i="17"/>
  <c r="G817" i="17"/>
  <c r="G801" i="17"/>
  <c r="G785" i="17"/>
  <c r="G769" i="17"/>
  <c r="G753" i="17"/>
  <c r="G732" i="17"/>
  <c r="G444" i="17"/>
  <c r="G847" i="17"/>
  <c r="G831" i="17"/>
  <c r="G815" i="17"/>
  <c r="G799" i="17"/>
  <c r="G783" i="17"/>
  <c r="G767" i="17"/>
  <c r="G751" i="17"/>
  <c r="G724" i="17"/>
  <c r="G412" i="17"/>
  <c r="G859" i="17"/>
  <c r="G843" i="17"/>
  <c r="G827" i="17"/>
  <c r="G811" i="17"/>
  <c r="G795" i="17"/>
  <c r="G779" i="17"/>
  <c r="G763" i="17"/>
  <c r="G747" i="17"/>
  <c r="G700" i="17"/>
  <c r="F86" i="17"/>
  <c r="G86" i="17"/>
  <c r="F272" i="17"/>
  <c r="G272" i="17"/>
  <c r="F336" i="17"/>
  <c r="G336" i="17"/>
  <c r="F352" i="17"/>
  <c r="G352" i="17"/>
  <c r="F360" i="17"/>
  <c r="G360" i="17"/>
  <c r="F368" i="17"/>
  <c r="G368" i="17"/>
  <c r="F376" i="17"/>
  <c r="G376" i="17"/>
  <c r="F384" i="17"/>
  <c r="G384" i="17"/>
  <c r="F392" i="17"/>
  <c r="G392" i="17"/>
  <c r="F400" i="17"/>
  <c r="G400" i="17"/>
  <c r="F408" i="17"/>
  <c r="G408" i="17"/>
  <c r="F416" i="17"/>
  <c r="G416" i="17"/>
  <c r="F424" i="17"/>
  <c r="G424" i="17"/>
  <c r="F432" i="17"/>
  <c r="G432" i="17"/>
  <c r="F440" i="17"/>
  <c r="G440" i="17"/>
  <c r="F448" i="17"/>
  <c r="G448" i="17"/>
  <c r="F456" i="17"/>
  <c r="G456" i="17"/>
  <c r="F464" i="17"/>
  <c r="G464" i="17"/>
  <c r="F472" i="17"/>
  <c r="G472" i="17"/>
  <c r="F480" i="17"/>
  <c r="G480" i="17"/>
  <c r="F488" i="17"/>
  <c r="G488" i="17"/>
  <c r="F496" i="17"/>
  <c r="G496" i="17"/>
  <c r="F504" i="17"/>
  <c r="G504" i="17"/>
  <c r="F512" i="17"/>
  <c r="G512" i="17"/>
  <c r="F520" i="17"/>
  <c r="G520" i="17"/>
  <c r="F528" i="17"/>
  <c r="G528" i="17"/>
  <c r="F536" i="17"/>
  <c r="G536" i="17"/>
  <c r="F544" i="17"/>
  <c r="G544" i="17"/>
  <c r="F552" i="17"/>
  <c r="G552" i="17"/>
  <c r="F560" i="17"/>
  <c r="G560" i="17"/>
  <c r="F568" i="17"/>
  <c r="G568" i="17"/>
  <c r="F576" i="17"/>
  <c r="G576" i="17"/>
  <c r="F584" i="17"/>
  <c r="G584" i="17"/>
  <c r="F592" i="17"/>
  <c r="G592" i="17"/>
  <c r="F600" i="17"/>
  <c r="G600" i="17"/>
  <c r="F608" i="17"/>
  <c r="G608" i="17"/>
  <c r="F616" i="17"/>
  <c r="G616" i="17"/>
  <c r="F624" i="17"/>
  <c r="G624" i="17"/>
  <c r="F632" i="17"/>
  <c r="G632" i="17"/>
  <c r="F640" i="17"/>
  <c r="G640" i="17"/>
  <c r="F648" i="17"/>
  <c r="G648" i="17"/>
  <c r="F656" i="17"/>
  <c r="G656" i="17"/>
  <c r="F664" i="17"/>
  <c r="G664" i="17"/>
  <c r="F672" i="17"/>
  <c r="G672" i="17"/>
  <c r="F680" i="17"/>
  <c r="G680" i="17"/>
  <c r="F688" i="17"/>
  <c r="G688" i="17"/>
  <c r="F696" i="17"/>
  <c r="G696" i="17"/>
  <c r="F704" i="17"/>
  <c r="G704" i="17"/>
  <c r="F712" i="17"/>
  <c r="G712" i="17"/>
  <c r="F720" i="17"/>
  <c r="G720" i="17"/>
  <c r="F728" i="17"/>
  <c r="G728" i="17"/>
  <c r="F736" i="17"/>
  <c r="G736" i="17"/>
  <c r="F744" i="17"/>
  <c r="G744" i="17"/>
  <c r="F752" i="17"/>
  <c r="G752" i="17"/>
  <c r="F760" i="17"/>
  <c r="G760" i="17"/>
  <c r="F768" i="17"/>
  <c r="G768" i="17"/>
  <c r="F776" i="17"/>
  <c r="G776" i="17"/>
  <c r="F784" i="17"/>
  <c r="G784" i="17"/>
  <c r="F792" i="17"/>
  <c r="G792" i="17"/>
  <c r="F800" i="17"/>
  <c r="G800" i="17"/>
  <c r="F808" i="17"/>
  <c r="G808" i="17"/>
  <c r="F816" i="17"/>
  <c r="G816" i="17"/>
  <c r="F824" i="17"/>
  <c r="G824" i="17"/>
  <c r="F832" i="17"/>
  <c r="G832" i="17"/>
  <c r="F840" i="17"/>
  <c r="G840" i="17"/>
  <c r="F848" i="17"/>
  <c r="G848" i="17"/>
  <c r="F856" i="17"/>
  <c r="G856" i="17"/>
  <c r="F62" i="17"/>
  <c r="G62" i="17"/>
  <c r="F70" i="17"/>
  <c r="G70" i="17"/>
  <c r="F78" i="17"/>
  <c r="G78" i="17"/>
  <c r="F87" i="17"/>
  <c r="G87" i="17"/>
  <c r="F95" i="17"/>
  <c r="G95" i="17"/>
  <c r="F121" i="17"/>
  <c r="G121" i="17"/>
  <c r="F185" i="17"/>
  <c r="G185" i="17"/>
  <c r="F249" i="17"/>
  <c r="G249" i="17"/>
  <c r="F313" i="17"/>
  <c r="G313" i="17"/>
  <c r="F433" i="17"/>
  <c r="G433" i="17"/>
  <c r="F441" i="17"/>
  <c r="G441" i="17"/>
  <c r="F449" i="17"/>
  <c r="G449" i="17"/>
  <c r="F457" i="17"/>
  <c r="G457" i="17"/>
  <c r="F72" i="17"/>
  <c r="G72" i="17"/>
  <c r="F443" i="17"/>
  <c r="G443" i="17"/>
  <c r="F451" i="17"/>
  <c r="G451" i="17"/>
  <c r="F459" i="17"/>
  <c r="G459" i="17"/>
  <c r="F467" i="17"/>
  <c r="G467" i="17"/>
  <c r="F475" i="17"/>
  <c r="G475" i="17"/>
  <c r="F64" i="17"/>
  <c r="G64" i="17"/>
  <c r="F98" i="17"/>
  <c r="G98" i="17"/>
  <c r="F106" i="17"/>
  <c r="G106" i="17"/>
  <c r="F90" i="17"/>
  <c r="G90" i="17"/>
  <c r="F99" i="17"/>
  <c r="G99" i="17"/>
  <c r="F356" i="17"/>
  <c r="G356" i="17"/>
  <c r="F364" i="17"/>
  <c r="G364" i="17"/>
  <c r="F380" i="17"/>
  <c r="F388" i="17"/>
  <c r="G388" i="17"/>
  <c r="F396" i="17"/>
  <c r="G396" i="17"/>
  <c r="E404" i="17"/>
  <c r="F412" i="17"/>
  <c r="F420" i="17"/>
  <c r="G420" i="17"/>
  <c r="F428" i="17"/>
  <c r="G428" i="17"/>
  <c r="E436" i="17"/>
  <c r="F444" i="17"/>
  <c r="F452" i="17"/>
  <c r="G452" i="17"/>
  <c r="F460" i="17"/>
  <c r="G460" i="17"/>
  <c r="F468" i="17"/>
  <c r="F476" i="17"/>
  <c r="F484" i="17"/>
  <c r="G484" i="17"/>
  <c r="F492" i="17"/>
  <c r="G492" i="17"/>
  <c r="E500" i="17"/>
  <c r="F508" i="17"/>
  <c r="F516" i="17"/>
  <c r="G516" i="17"/>
  <c r="F524" i="17"/>
  <c r="G524" i="17"/>
  <c r="F532" i="17"/>
  <c r="F540" i="17"/>
  <c r="F548" i="17"/>
  <c r="G548" i="17"/>
  <c r="F556" i="17"/>
  <c r="G556" i="17"/>
  <c r="F564" i="17"/>
  <c r="F572" i="17"/>
  <c r="F580" i="17"/>
  <c r="G580" i="17"/>
  <c r="F588" i="17"/>
  <c r="G588" i="17"/>
  <c r="F596" i="17"/>
  <c r="F604" i="17"/>
  <c r="F612" i="17"/>
  <c r="G612" i="17"/>
  <c r="F620" i="17"/>
  <c r="G620" i="17"/>
  <c r="F628" i="17"/>
  <c r="F636" i="17"/>
  <c r="F644" i="17"/>
  <c r="G644" i="17"/>
  <c r="F652" i="17"/>
  <c r="G652" i="17"/>
  <c r="F660" i="17"/>
  <c r="F668" i="17"/>
  <c r="F676" i="17"/>
  <c r="G676" i="17"/>
  <c r="F684" i="17"/>
  <c r="G684" i="17"/>
  <c r="F692" i="17"/>
  <c r="F700" i="17"/>
  <c r="F708" i="17"/>
  <c r="G708" i="17"/>
  <c r="F716" i="17"/>
  <c r="G716" i="17"/>
  <c r="F724" i="17"/>
  <c r="F732" i="17"/>
  <c r="G636" i="17"/>
  <c r="G508" i="17"/>
  <c r="G380" i="17"/>
  <c r="F94" i="17"/>
  <c r="G94" i="17"/>
  <c r="F79" i="17"/>
  <c r="G79" i="17"/>
  <c r="F66" i="17"/>
  <c r="G66" i="17"/>
  <c r="F74" i="17"/>
  <c r="G74" i="17"/>
  <c r="F82" i="17"/>
  <c r="G82" i="17"/>
  <c r="F397" i="17"/>
  <c r="G397" i="17"/>
  <c r="F405" i="17"/>
  <c r="G405" i="17"/>
  <c r="F413" i="17"/>
  <c r="G413" i="17"/>
  <c r="F421" i="17"/>
  <c r="G421" i="17"/>
  <c r="F429" i="17"/>
  <c r="G429" i="17"/>
  <c r="F437" i="17"/>
  <c r="G437" i="17"/>
  <c r="F445" i="17"/>
  <c r="G445" i="17"/>
  <c r="F453" i="17"/>
  <c r="G453" i="17"/>
  <c r="F461" i="17"/>
  <c r="G461" i="17"/>
  <c r="F469" i="17"/>
  <c r="G469" i="17"/>
  <c r="F477" i="17"/>
  <c r="G477" i="17"/>
  <c r="F485" i="17"/>
  <c r="G485" i="17"/>
  <c r="F493" i="17"/>
  <c r="G493" i="17"/>
  <c r="F501" i="17"/>
  <c r="G501" i="17"/>
  <c r="F509" i="17"/>
  <c r="G509" i="17"/>
  <c r="F517" i="17"/>
  <c r="G517" i="17"/>
  <c r="F525" i="17"/>
  <c r="G525" i="17"/>
  <c r="F533" i="17"/>
  <c r="G533" i="17"/>
  <c r="F541" i="17"/>
  <c r="G541" i="17"/>
  <c r="F549" i="17"/>
  <c r="G549" i="17"/>
  <c r="F557" i="17"/>
  <c r="G557" i="17"/>
  <c r="F565" i="17"/>
  <c r="G565" i="17"/>
  <c r="F573" i="17"/>
  <c r="G573" i="17"/>
  <c r="F581" i="17"/>
  <c r="G581" i="17"/>
  <c r="F589" i="17"/>
  <c r="G589" i="17"/>
  <c r="F597" i="17"/>
  <c r="G597" i="17"/>
  <c r="F605" i="17"/>
  <c r="G605" i="17"/>
  <c r="F613" i="17"/>
  <c r="G613" i="17"/>
  <c r="F621" i="17"/>
  <c r="G621" i="17"/>
  <c r="F629" i="17"/>
  <c r="G629" i="17"/>
  <c r="F637" i="17"/>
  <c r="G637" i="17"/>
  <c r="F645" i="17"/>
  <c r="G645" i="17"/>
  <c r="F653" i="17"/>
  <c r="G653" i="17"/>
  <c r="F661" i="17"/>
  <c r="G661" i="17"/>
  <c r="F669" i="17"/>
  <c r="G669" i="17"/>
  <c r="F677" i="17"/>
  <c r="G677" i="17"/>
  <c r="F685" i="17"/>
  <c r="G685" i="17"/>
  <c r="F693" i="17"/>
  <c r="G693" i="17"/>
  <c r="F701" i="17"/>
  <c r="G701" i="17"/>
  <c r="F709" i="17"/>
  <c r="G709" i="17"/>
  <c r="F717" i="17"/>
  <c r="G717" i="17"/>
  <c r="F725" i="17"/>
  <c r="G725" i="17"/>
  <c r="F733" i="17"/>
  <c r="G733" i="17"/>
  <c r="G628" i="17"/>
  <c r="G500" i="17"/>
  <c r="G372" i="17"/>
  <c r="F103" i="17"/>
  <c r="G103" i="17"/>
  <c r="F208" i="17"/>
  <c r="G208" i="17"/>
  <c r="F71" i="17"/>
  <c r="G71" i="17"/>
  <c r="F166" i="17"/>
  <c r="G166" i="17"/>
  <c r="F230" i="17"/>
  <c r="G230" i="17"/>
  <c r="E230" i="17"/>
  <c r="F294" i="17"/>
  <c r="G294" i="17"/>
  <c r="F398" i="17"/>
  <c r="G398" i="17"/>
  <c r="F422" i="17"/>
  <c r="G422" i="17"/>
  <c r="F462" i="17"/>
  <c r="G462" i="17"/>
  <c r="F470" i="17"/>
  <c r="G470" i="17"/>
  <c r="F478" i="17"/>
  <c r="G478" i="17"/>
  <c r="F486" i="17"/>
  <c r="G486" i="17"/>
  <c r="F494" i="17"/>
  <c r="G494" i="17"/>
  <c r="F502" i="17"/>
  <c r="G502" i="17"/>
  <c r="F510" i="17"/>
  <c r="G510" i="17"/>
  <c r="F518" i="17"/>
  <c r="G518" i="17"/>
  <c r="F526" i="17"/>
  <c r="G526" i="17"/>
  <c r="F534" i="17"/>
  <c r="G534" i="17"/>
  <c r="F542" i="17"/>
  <c r="G542" i="17"/>
  <c r="F550" i="17"/>
  <c r="G550" i="17"/>
  <c r="F558" i="17"/>
  <c r="G558" i="17"/>
  <c r="F566" i="17"/>
  <c r="G566" i="17"/>
  <c r="F574" i="17"/>
  <c r="G574" i="17"/>
  <c r="F582" i="17"/>
  <c r="G582" i="17"/>
  <c r="F590" i="17"/>
  <c r="G590" i="17"/>
  <c r="F598" i="17"/>
  <c r="G598" i="17"/>
  <c r="F606" i="17"/>
  <c r="G606" i="17"/>
  <c r="F614" i="17"/>
  <c r="G614" i="17"/>
  <c r="F622" i="17"/>
  <c r="G622" i="17"/>
  <c r="F630" i="17"/>
  <c r="G630" i="17"/>
  <c r="F638" i="17"/>
  <c r="G638" i="17"/>
  <c r="F646" i="17"/>
  <c r="G646" i="17"/>
  <c r="F654" i="17"/>
  <c r="G654" i="17"/>
  <c r="F662" i="17"/>
  <c r="G662" i="17"/>
  <c r="F670" i="17"/>
  <c r="G670" i="17"/>
  <c r="F678" i="17"/>
  <c r="G678" i="17"/>
  <c r="F686" i="17"/>
  <c r="G686" i="17"/>
  <c r="F694" i="17"/>
  <c r="G694" i="17"/>
  <c r="F702" i="17"/>
  <c r="G702" i="17"/>
  <c r="F710" i="17"/>
  <c r="G710" i="17"/>
  <c r="F718" i="17"/>
  <c r="G718" i="17"/>
  <c r="F726" i="17"/>
  <c r="G726" i="17"/>
  <c r="F734" i="17"/>
  <c r="G734" i="17"/>
  <c r="F742" i="17"/>
  <c r="G742" i="17"/>
  <c r="F750" i="17"/>
  <c r="G750" i="17"/>
  <c r="F758" i="17"/>
  <c r="G758" i="17"/>
  <c r="F766" i="17"/>
  <c r="G766" i="17"/>
  <c r="F774" i="17"/>
  <c r="G774" i="17"/>
  <c r="F782" i="17"/>
  <c r="G782" i="17"/>
  <c r="F790" i="17"/>
  <c r="G790" i="17"/>
  <c r="F798" i="17"/>
  <c r="G798" i="17"/>
  <c r="F806" i="17"/>
  <c r="G806" i="17"/>
  <c r="F814" i="17"/>
  <c r="G814" i="17"/>
  <c r="F822" i="17"/>
  <c r="G822" i="17"/>
  <c r="F830" i="17"/>
  <c r="G830" i="17"/>
  <c r="F838" i="17"/>
  <c r="G838" i="17"/>
  <c r="F846" i="17"/>
  <c r="G846" i="17"/>
  <c r="F854" i="17"/>
  <c r="G854" i="17"/>
  <c r="G476" i="17"/>
  <c r="G348" i="17"/>
  <c r="F144" i="17"/>
  <c r="G144" i="17"/>
  <c r="F63" i="17"/>
  <c r="G63" i="17"/>
  <c r="F102" i="17"/>
  <c r="G102" i="17"/>
  <c r="G468" i="17"/>
  <c r="E799" i="17"/>
  <c r="F465" i="17"/>
  <c r="G465" i="17"/>
  <c r="F473" i="17"/>
  <c r="G473" i="17"/>
  <c r="F481" i="17"/>
  <c r="G481" i="17"/>
  <c r="F489" i="17"/>
  <c r="G489" i="17"/>
  <c r="F497" i="17"/>
  <c r="G497" i="17"/>
  <c r="F505" i="17"/>
  <c r="G505" i="17"/>
  <c r="F513" i="17"/>
  <c r="G513" i="17"/>
  <c r="F521" i="17"/>
  <c r="G521" i="17"/>
  <c r="F529" i="17"/>
  <c r="G529" i="17"/>
  <c r="F537" i="17"/>
  <c r="G537" i="17"/>
  <c r="F545" i="17"/>
  <c r="G545" i="17"/>
  <c r="F553" i="17"/>
  <c r="G553" i="17"/>
  <c r="F561" i="17"/>
  <c r="G561" i="17"/>
  <c r="F569" i="17"/>
  <c r="G569" i="17"/>
  <c r="F577" i="17"/>
  <c r="G577" i="17"/>
  <c r="E585" i="17"/>
  <c r="G585" i="17"/>
  <c r="F593" i="17"/>
  <c r="G593" i="17"/>
  <c r="E601" i="17"/>
  <c r="G601" i="17"/>
  <c r="F609" i="17"/>
  <c r="G609" i="17"/>
  <c r="F617" i="17"/>
  <c r="G617" i="17"/>
  <c r="F625" i="17"/>
  <c r="G625" i="17"/>
  <c r="F633" i="17"/>
  <c r="G633" i="17"/>
  <c r="F641" i="17"/>
  <c r="G641" i="17"/>
  <c r="F649" i="17"/>
  <c r="G649" i="17"/>
  <c r="F657" i="17"/>
  <c r="G657" i="17"/>
  <c r="F665" i="17"/>
  <c r="G665" i="17"/>
  <c r="F673" i="17"/>
  <c r="G673" i="17"/>
  <c r="F681" i="17"/>
  <c r="G681" i="17"/>
  <c r="F689" i="17"/>
  <c r="G689" i="17"/>
  <c r="F697" i="17"/>
  <c r="G697" i="17"/>
  <c r="F705" i="17"/>
  <c r="G705" i="17"/>
  <c r="E713" i="17"/>
  <c r="G713" i="17"/>
  <c r="F721" i="17"/>
  <c r="G721" i="17"/>
  <c r="E729" i="17"/>
  <c r="G729" i="17"/>
  <c r="F737" i="17"/>
  <c r="G737" i="17"/>
  <c r="F745" i="17"/>
  <c r="F753" i="17"/>
  <c r="F761" i="17"/>
  <c r="F769" i="17"/>
  <c r="F777" i="17"/>
  <c r="F785" i="17"/>
  <c r="F793" i="17"/>
  <c r="F801" i="17"/>
  <c r="F809" i="17"/>
  <c r="F817" i="17"/>
  <c r="F825" i="17"/>
  <c r="F833" i="17"/>
  <c r="F841" i="17"/>
  <c r="F849" i="17"/>
  <c r="F857" i="17"/>
  <c r="F450" i="17"/>
  <c r="G450" i="17"/>
  <c r="F458" i="17"/>
  <c r="G458" i="17"/>
  <c r="F466" i="17"/>
  <c r="G466" i="17"/>
  <c r="F474" i="17"/>
  <c r="G474" i="17"/>
  <c r="F482" i="17"/>
  <c r="G482" i="17"/>
  <c r="F490" i="17"/>
  <c r="G490" i="17"/>
  <c r="F498" i="17"/>
  <c r="G498" i="17"/>
  <c r="F506" i="17"/>
  <c r="G506" i="17"/>
  <c r="F514" i="17"/>
  <c r="G514" i="17"/>
  <c r="F522" i="17"/>
  <c r="G522" i="17"/>
  <c r="F530" i="17"/>
  <c r="G530" i="17"/>
  <c r="F538" i="17"/>
  <c r="G538" i="17"/>
  <c r="F546" i="17"/>
  <c r="G546" i="17"/>
  <c r="F554" i="17"/>
  <c r="G554" i="17"/>
  <c r="F562" i="17"/>
  <c r="G562" i="17"/>
  <c r="F570" i="17"/>
  <c r="G570" i="17"/>
  <c r="F578" i="17"/>
  <c r="G578" i="17"/>
  <c r="F586" i="17"/>
  <c r="G586" i="17"/>
  <c r="F594" i="17"/>
  <c r="G594" i="17"/>
  <c r="F602" i="17"/>
  <c r="G602" i="17"/>
  <c r="F610" i="17"/>
  <c r="G610" i="17"/>
  <c r="F618" i="17"/>
  <c r="G618" i="17"/>
  <c r="F626" i="17"/>
  <c r="G626" i="17"/>
  <c r="F634" i="17"/>
  <c r="G634" i="17"/>
  <c r="F642" i="17"/>
  <c r="G642" i="17"/>
  <c r="F650" i="17"/>
  <c r="G650" i="17"/>
  <c r="F658" i="17"/>
  <c r="G658" i="17"/>
  <c r="F666" i="17"/>
  <c r="G666" i="17"/>
  <c r="F674" i="17"/>
  <c r="G674" i="17"/>
  <c r="F682" i="17"/>
  <c r="G682" i="17"/>
  <c r="F690" i="17"/>
  <c r="G690" i="17"/>
  <c r="F698" i="17"/>
  <c r="G698" i="17"/>
  <c r="F706" i="17"/>
  <c r="G706" i="17"/>
  <c r="F714" i="17"/>
  <c r="G714" i="17"/>
  <c r="F722" i="17"/>
  <c r="G722" i="17"/>
  <c r="F730" i="17"/>
  <c r="G730" i="17"/>
  <c r="F738" i="17"/>
  <c r="G738" i="17"/>
  <c r="F746" i="17"/>
  <c r="F754" i="17"/>
  <c r="F762" i="17"/>
  <c r="F770" i="17"/>
  <c r="F778" i="17"/>
  <c r="F786" i="17"/>
  <c r="F794" i="17"/>
  <c r="F802" i="17"/>
  <c r="F810" i="17"/>
  <c r="F818" i="17"/>
  <c r="F826" i="17"/>
  <c r="F834" i="17"/>
  <c r="F842" i="17"/>
  <c r="F850" i="17"/>
  <c r="F858" i="17"/>
  <c r="F483" i="17"/>
  <c r="F491" i="17"/>
  <c r="F499" i="17"/>
  <c r="F507" i="17"/>
  <c r="F515" i="17"/>
  <c r="F523" i="17"/>
  <c r="F531" i="17"/>
  <c r="F539" i="17"/>
  <c r="F547" i="17"/>
  <c r="F555" i="17"/>
  <c r="F563" i="17"/>
  <c r="F571" i="17"/>
  <c r="F579" i="17"/>
  <c r="F587" i="17"/>
  <c r="F595" i="17"/>
  <c r="F603" i="17"/>
  <c r="F611" i="17"/>
  <c r="F619" i="17"/>
  <c r="F627" i="17"/>
  <c r="F635" i="17"/>
  <c r="F643" i="17"/>
  <c r="F651" i="17"/>
  <c r="F659" i="17"/>
  <c r="F667" i="17"/>
  <c r="F675" i="17"/>
  <c r="F683" i="17"/>
  <c r="F691" i="17"/>
  <c r="F699" i="17"/>
  <c r="F707" i="17"/>
  <c r="F715" i="17"/>
  <c r="F723" i="17"/>
  <c r="F731" i="17"/>
  <c r="F739" i="17"/>
  <c r="F747" i="17"/>
  <c r="F755" i="17"/>
  <c r="F763" i="17"/>
  <c r="F771" i="17"/>
  <c r="F779" i="17"/>
  <c r="F787" i="17"/>
  <c r="F795" i="17"/>
  <c r="F803" i="17"/>
  <c r="F811" i="17"/>
  <c r="F819" i="17"/>
  <c r="F827" i="17"/>
  <c r="F835" i="17"/>
  <c r="F843" i="17"/>
  <c r="F851" i="17"/>
  <c r="F859" i="17"/>
  <c r="G715" i="17"/>
  <c r="G683" i="17"/>
  <c r="G651" i="17"/>
  <c r="G619" i="17"/>
  <c r="G587" i="17"/>
  <c r="G555" i="17"/>
  <c r="G523" i="17"/>
  <c r="G491" i="17"/>
  <c r="F740" i="17"/>
  <c r="F748" i="17"/>
  <c r="F756" i="17"/>
  <c r="F764" i="17"/>
  <c r="F772" i="17"/>
  <c r="F780" i="17"/>
  <c r="F788" i="17"/>
  <c r="F796" i="17"/>
  <c r="F804" i="17"/>
  <c r="F812" i="17"/>
  <c r="F820" i="17"/>
  <c r="F828" i="17"/>
  <c r="F836" i="17"/>
  <c r="F844" i="17"/>
  <c r="F852" i="17"/>
  <c r="F860" i="17"/>
  <c r="F741" i="17"/>
  <c r="F749" i="17"/>
  <c r="F757" i="17"/>
  <c r="F765" i="17"/>
  <c r="F773" i="17"/>
  <c r="F781" i="17"/>
  <c r="F789" i="17"/>
  <c r="F797" i="17"/>
  <c r="F805" i="17"/>
  <c r="F813" i="17"/>
  <c r="F821" i="17"/>
  <c r="F829" i="17"/>
  <c r="F837" i="17"/>
  <c r="F845" i="17"/>
  <c r="F853" i="17"/>
  <c r="E836" i="17"/>
  <c r="G707" i="17"/>
  <c r="G675" i="17"/>
  <c r="G643" i="17"/>
  <c r="G611" i="17"/>
  <c r="G579" i="17"/>
  <c r="G547" i="17"/>
  <c r="G515" i="17"/>
  <c r="G483" i="17"/>
  <c r="E835" i="17"/>
  <c r="E803" i="17"/>
  <c r="E755" i="17"/>
  <c r="E691" i="17"/>
  <c r="E627" i="17"/>
  <c r="E563" i="17"/>
  <c r="E499" i="17"/>
  <c r="E432" i="17"/>
  <c r="E166" i="17"/>
  <c r="E443" i="17"/>
  <c r="E860" i="17"/>
  <c r="E828" i="17"/>
  <c r="E796" i="17"/>
  <c r="E747" i="17"/>
  <c r="E683" i="17"/>
  <c r="E619" i="17"/>
  <c r="E555" i="17"/>
  <c r="E491" i="17"/>
  <c r="E422" i="17"/>
  <c r="E121" i="17"/>
  <c r="E635" i="17"/>
  <c r="E859" i="17"/>
  <c r="E827" i="17"/>
  <c r="E795" i="17"/>
  <c r="E739" i="17"/>
  <c r="E675" i="17"/>
  <c r="E611" i="17"/>
  <c r="E547" i="17"/>
  <c r="E483" i="17"/>
  <c r="E412" i="17"/>
  <c r="E571" i="17"/>
  <c r="E852" i="17"/>
  <c r="E820" i="17"/>
  <c r="E788" i="17"/>
  <c r="E731" i="17"/>
  <c r="E667" i="17"/>
  <c r="E603" i="17"/>
  <c r="E539" i="17"/>
  <c r="E475" i="17"/>
  <c r="E398" i="17"/>
  <c r="E507" i="17"/>
  <c r="E851" i="17"/>
  <c r="E819" i="17"/>
  <c r="E787" i="17"/>
  <c r="E723" i="17"/>
  <c r="E659" i="17"/>
  <c r="E595" i="17"/>
  <c r="E531" i="17"/>
  <c r="E467" i="17"/>
  <c r="E384" i="17"/>
  <c r="F729" i="17"/>
  <c r="E699" i="17"/>
  <c r="E844" i="17"/>
  <c r="E812" i="17"/>
  <c r="E779" i="17"/>
  <c r="E715" i="17"/>
  <c r="E651" i="17"/>
  <c r="E587" i="17"/>
  <c r="E523" i="17"/>
  <c r="E459" i="17"/>
  <c r="E368" i="17"/>
  <c r="F601" i="17"/>
  <c r="E763" i="17"/>
  <c r="E843" i="17"/>
  <c r="E811" i="17"/>
  <c r="E771" i="17"/>
  <c r="E707" i="17"/>
  <c r="E643" i="17"/>
  <c r="E579" i="17"/>
  <c r="E515" i="17"/>
  <c r="E451" i="17"/>
  <c r="E294" i="17"/>
  <c r="F436" i="17"/>
  <c r="F100" i="17"/>
  <c r="E100" i="17"/>
  <c r="F125" i="17"/>
  <c r="E125" i="17"/>
  <c r="F149" i="17"/>
  <c r="E149" i="17"/>
  <c r="F165" i="17"/>
  <c r="E165" i="17"/>
  <c r="F181" i="17"/>
  <c r="E181" i="17"/>
  <c r="F189" i="17"/>
  <c r="E189" i="17"/>
  <c r="F197" i="17"/>
  <c r="E197" i="17"/>
  <c r="F205" i="17"/>
  <c r="E205" i="17"/>
  <c r="F213" i="17"/>
  <c r="E213" i="17"/>
  <c r="F237" i="17"/>
  <c r="E237" i="17"/>
  <c r="F253" i="17"/>
  <c r="E253" i="17"/>
  <c r="F261" i="17"/>
  <c r="E261" i="17"/>
  <c r="F285" i="17"/>
  <c r="E285" i="17"/>
  <c r="F293" i="17"/>
  <c r="E293" i="17"/>
  <c r="F301" i="17"/>
  <c r="E301" i="17"/>
  <c r="F309" i="17"/>
  <c r="E309" i="17"/>
  <c r="F317" i="17"/>
  <c r="E317" i="17"/>
  <c r="F67" i="17"/>
  <c r="E67" i="17"/>
  <c r="F75" i="17"/>
  <c r="E75" i="17"/>
  <c r="F83" i="17"/>
  <c r="E83" i="17"/>
  <c r="E92" i="17"/>
  <c r="F92" i="17"/>
  <c r="F101" i="17"/>
  <c r="E101" i="17"/>
  <c r="F109" i="17"/>
  <c r="E109" i="17"/>
  <c r="F110" i="17"/>
  <c r="E110" i="17"/>
  <c r="F118" i="17"/>
  <c r="E118" i="17"/>
  <c r="F126" i="17"/>
  <c r="E126" i="17"/>
  <c r="F134" i="17"/>
  <c r="E134" i="17"/>
  <c r="F142" i="17"/>
  <c r="E142" i="17"/>
  <c r="F150" i="17"/>
  <c r="E150" i="17"/>
  <c r="F158" i="17"/>
  <c r="E158" i="17"/>
  <c r="F174" i="17"/>
  <c r="E174" i="17"/>
  <c r="F182" i="17"/>
  <c r="E182" i="17"/>
  <c r="F190" i="17"/>
  <c r="E190" i="17"/>
  <c r="F198" i="17"/>
  <c r="E198" i="17"/>
  <c r="F206" i="17"/>
  <c r="E206" i="17"/>
  <c r="F214" i="17"/>
  <c r="E214" i="17"/>
  <c r="F222" i="17"/>
  <c r="E222" i="17"/>
  <c r="F238" i="17"/>
  <c r="E238" i="17"/>
  <c r="F246" i="17"/>
  <c r="E246" i="17"/>
  <c r="F254" i="17"/>
  <c r="E254" i="17"/>
  <c r="F262" i="17"/>
  <c r="E262" i="17"/>
  <c r="F270" i="17"/>
  <c r="E270" i="17"/>
  <c r="F278" i="17"/>
  <c r="E278" i="17"/>
  <c r="F286" i="17"/>
  <c r="E286" i="17"/>
  <c r="F302" i="17"/>
  <c r="E302" i="17"/>
  <c r="F310" i="17"/>
  <c r="E310" i="17"/>
  <c r="F318" i="17"/>
  <c r="E318" i="17"/>
  <c r="F326" i="17"/>
  <c r="E326" i="17"/>
  <c r="F334" i="17"/>
  <c r="E334" i="17"/>
  <c r="F342" i="17"/>
  <c r="E342" i="17"/>
  <c r="F350" i="17"/>
  <c r="E350" i="17"/>
  <c r="F358" i="17"/>
  <c r="E358" i="17"/>
  <c r="F366" i="17"/>
  <c r="E366" i="17"/>
  <c r="F374" i="17"/>
  <c r="E374" i="17"/>
  <c r="F382" i="17"/>
  <c r="E382" i="17"/>
  <c r="F390" i="17"/>
  <c r="E390" i="17"/>
  <c r="F406" i="17"/>
  <c r="E406" i="17"/>
  <c r="F414" i="17"/>
  <c r="E414" i="17"/>
  <c r="F430" i="17"/>
  <c r="E430" i="17"/>
  <c r="F438" i="17"/>
  <c r="E438" i="17"/>
  <c r="F446" i="17"/>
  <c r="E446" i="17"/>
  <c r="F454" i="17"/>
  <c r="E454" i="17"/>
  <c r="E272" i="17"/>
  <c r="E99" i="17"/>
  <c r="F229" i="17"/>
  <c r="E229" i="17"/>
  <c r="F60" i="17"/>
  <c r="E60" i="17"/>
  <c r="F111" i="17"/>
  <c r="E111" i="17"/>
  <c r="F119" i="17"/>
  <c r="E119" i="17"/>
  <c r="F127" i="17"/>
  <c r="E127" i="17"/>
  <c r="F135" i="17"/>
  <c r="E135" i="17"/>
  <c r="F143" i="17"/>
  <c r="E143" i="17"/>
  <c r="F151" i="17"/>
  <c r="E151" i="17"/>
  <c r="F159" i="17"/>
  <c r="E159" i="17"/>
  <c r="F167" i="17"/>
  <c r="E167" i="17"/>
  <c r="F175" i="17"/>
  <c r="E175" i="17"/>
  <c r="F183" i="17"/>
  <c r="E183" i="17"/>
  <c r="F191" i="17"/>
  <c r="E191" i="17"/>
  <c r="F199" i="17"/>
  <c r="E199" i="17"/>
  <c r="F207" i="17"/>
  <c r="E207" i="17"/>
  <c r="F215" i="17"/>
  <c r="E215" i="17"/>
  <c r="F223" i="17"/>
  <c r="E223" i="17"/>
  <c r="F231" i="17"/>
  <c r="E231" i="17"/>
  <c r="F239" i="17"/>
  <c r="E239" i="17"/>
  <c r="F247" i="17"/>
  <c r="E247" i="17"/>
  <c r="F255" i="17"/>
  <c r="E255" i="17"/>
  <c r="F263" i="17"/>
  <c r="E263" i="17"/>
  <c r="F271" i="17"/>
  <c r="E271" i="17"/>
  <c r="F279" i="17"/>
  <c r="E279" i="17"/>
  <c r="F287" i="17"/>
  <c r="E287" i="17"/>
  <c r="F295" i="17"/>
  <c r="E295" i="17"/>
  <c r="F303" i="17"/>
  <c r="E303" i="17"/>
  <c r="F311" i="17"/>
  <c r="E311" i="17"/>
  <c r="F319" i="17"/>
  <c r="E319" i="17"/>
  <c r="F327" i="17"/>
  <c r="E327" i="17"/>
  <c r="F335" i="17"/>
  <c r="E335" i="17"/>
  <c r="F343" i="17"/>
  <c r="E343" i="17"/>
  <c r="F351" i="17"/>
  <c r="E351" i="17"/>
  <c r="F359" i="17"/>
  <c r="E359" i="17"/>
  <c r="F367" i="17"/>
  <c r="E367" i="17"/>
  <c r="F375" i="17"/>
  <c r="E375" i="17"/>
  <c r="F383" i="17"/>
  <c r="E383" i="17"/>
  <c r="F391" i="17"/>
  <c r="E391" i="17"/>
  <c r="F399" i="17"/>
  <c r="E399" i="17"/>
  <c r="F407" i="17"/>
  <c r="E407" i="17"/>
  <c r="F415" i="17"/>
  <c r="E415" i="17"/>
  <c r="F423" i="17"/>
  <c r="E423" i="17"/>
  <c r="F431" i="17"/>
  <c r="E431" i="17"/>
  <c r="F439" i="17"/>
  <c r="E439" i="17"/>
  <c r="F447" i="17"/>
  <c r="E447" i="17"/>
  <c r="F455" i="17"/>
  <c r="E455" i="17"/>
  <c r="F463" i="17"/>
  <c r="E463" i="17"/>
  <c r="F471" i="17"/>
  <c r="E471" i="17"/>
  <c r="F479" i="17"/>
  <c r="E479" i="17"/>
  <c r="F487" i="17"/>
  <c r="E487" i="17"/>
  <c r="F495" i="17"/>
  <c r="E495" i="17"/>
  <c r="F503" i="17"/>
  <c r="E503" i="17"/>
  <c r="F511" i="17"/>
  <c r="E511" i="17"/>
  <c r="F519" i="17"/>
  <c r="E519" i="17"/>
  <c r="F527" i="17"/>
  <c r="E527" i="17"/>
  <c r="F535" i="17"/>
  <c r="E535" i="17"/>
  <c r="F543" i="17"/>
  <c r="E543" i="17"/>
  <c r="F551" i="17"/>
  <c r="E551" i="17"/>
  <c r="F559" i="17"/>
  <c r="E559" i="17"/>
  <c r="F567" i="17"/>
  <c r="E567" i="17"/>
  <c r="F575" i="17"/>
  <c r="E575" i="17"/>
  <c r="F583" i="17"/>
  <c r="E583" i="17"/>
  <c r="F591" i="17"/>
  <c r="E591" i="17"/>
  <c r="F599" i="17"/>
  <c r="E599" i="17"/>
  <c r="F607" i="17"/>
  <c r="E607" i="17"/>
  <c r="F615" i="17"/>
  <c r="E615" i="17"/>
  <c r="F623" i="17"/>
  <c r="E623" i="17"/>
  <c r="F631" i="17"/>
  <c r="E631" i="17"/>
  <c r="F639" i="17"/>
  <c r="E639" i="17"/>
  <c r="F647" i="17"/>
  <c r="E647" i="17"/>
  <c r="F655" i="17"/>
  <c r="E655" i="17"/>
  <c r="F663" i="17"/>
  <c r="E663" i="17"/>
  <c r="F671" i="17"/>
  <c r="E671" i="17"/>
  <c r="F679" i="17"/>
  <c r="E679" i="17"/>
  <c r="F687" i="17"/>
  <c r="E687" i="17"/>
  <c r="F695" i="17"/>
  <c r="E695" i="17"/>
  <c r="F703" i="17"/>
  <c r="E703" i="17"/>
  <c r="F711" i="17"/>
  <c r="E711" i="17"/>
  <c r="F719" i="17"/>
  <c r="E719" i="17"/>
  <c r="F727" i="17"/>
  <c r="E727" i="17"/>
  <c r="F735" i="17"/>
  <c r="E735" i="17"/>
  <c r="F743" i="17"/>
  <c r="E743" i="17"/>
  <c r="F751" i="17"/>
  <c r="E751" i="17"/>
  <c r="F759" i="17"/>
  <c r="E759" i="17"/>
  <c r="F767" i="17"/>
  <c r="E767" i="17"/>
  <c r="E775" i="17"/>
  <c r="F775" i="17"/>
  <c r="E783" i="17"/>
  <c r="F783" i="17"/>
  <c r="E791" i="17"/>
  <c r="F791" i="17"/>
  <c r="F807" i="17"/>
  <c r="E807" i="17"/>
  <c r="F815" i="17"/>
  <c r="E815" i="17"/>
  <c r="F823" i="17"/>
  <c r="E823" i="17"/>
  <c r="F831" i="17"/>
  <c r="E831" i="17"/>
  <c r="E839" i="17"/>
  <c r="F839" i="17"/>
  <c r="E847" i="17"/>
  <c r="F847" i="17"/>
  <c r="E855" i="17"/>
  <c r="F855" i="17"/>
  <c r="E249" i="17"/>
  <c r="F269" i="17"/>
  <c r="E269" i="17"/>
  <c r="F69" i="17"/>
  <c r="E69" i="17"/>
  <c r="F85" i="17"/>
  <c r="E85" i="17"/>
  <c r="F112" i="17"/>
  <c r="E112" i="17"/>
  <c r="F120" i="17"/>
  <c r="E120" i="17"/>
  <c r="F128" i="17"/>
  <c r="E128" i="17"/>
  <c r="F136" i="17"/>
  <c r="E136" i="17"/>
  <c r="F152" i="17"/>
  <c r="E152" i="17"/>
  <c r="F160" i="17"/>
  <c r="E160" i="17"/>
  <c r="F168" i="17"/>
  <c r="E168" i="17"/>
  <c r="F176" i="17"/>
  <c r="E176" i="17"/>
  <c r="F184" i="17"/>
  <c r="E184" i="17"/>
  <c r="F192" i="17"/>
  <c r="E192" i="17"/>
  <c r="F200" i="17"/>
  <c r="E200" i="17"/>
  <c r="F216" i="17"/>
  <c r="E216" i="17"/>
  <c r="F224" i="17"/>
  <c r="E224" i="17"/>
  <c r="F232" i="17"/>
  <c r="E232" i="17"/>
  <c r="F240" i="17"/>
  <c r="E240" i="17"/>
  <c r="F248" i="17"/>
  <c r="E248" i="17"/>
  <c r="F256" i="17"/>
  <c r="E256" i="17"/>
  <c r="F264" i="17"/>
  <c r="E264" i="17"/>
  <c r="F280" i="17"/>
  <c r="E280" i="17"/>
  <c r="F288" i="17"/>
  <c r="E288" i="17"/>
  <c r="F296" i="17"/>
  <c r="E296" i="17"/>
  <c r="F304" i="17"/>
  <c r="E304" i="17"/>
  <c r="F312" i="17"/>
  <c r="E312" i="17"/>
  <c r="F320" i="17"/>
  <c r="E320" i="17"/>
  <c r="F328" i="17"/>
  <c r="E328" i="17"/>
  <c r="F344" i="17"/>
  <c r="E344" i="17"/>
  <c r="E108" i="17"/>
  <c r="F108" i="17"/>
  <c r="F157" i="17"/>
  <c r="E157" i="17"/>
  <c r="F277" i="17"/>
  <c r="E277" i="17"/>
  <c r="F68" i="17"/>
  <c r="E68" i="17"/>
  <c r="F76" i="17"/>
  <c r="E76" i="17"/>
  <c r="F84" i="17"/>
  <c r="E84" i="17"/>
  <c r="F93" i="17"/>
  <c r="E93" i="17"/>
  <c r="F61" i="17"/>
  <c r="E61" i="17"/>
  <c r="F104" i="17"/>
  <c r="E104" i="17"/>
  <c r="F113" i="17"/>
  <c r="E113" i="17"/>
  <c r="F129" i="17"/>
  <c r="E129" i="17"/>
  <c r="F137" i="17"/>
  <c r="E137" i="17"/>
  <c r="F145" i="17"/>
  <c r="E145" i="17"/>
  <c r="F153" i="17"/>
  <c r="E153" i="17"/>
  <c r="F161" i="17"/>
  <c r="E161" i="17"/>
  <c r="F169" i="17"/>
  <c r="E169" i="17"/>
  <c r="F177" i="17"/>
  <c r="E177" i="17"/>
  <c r="F193" i="17"/>
  <c r="E193" i="17"/>
  <c r="F201" i="17"/>
  <c r="E201" i="17"/>
  <c r="F209" i="17"/>
  <c r="E209" i="17"/>
  <c r="F217" i="17"/>
  <c r="E217" i="17"/>
  <c r="F225" i="17"/>
  <c r="E225" i="17"/>
  <c r="F233" i="17"/>
  <c r="E233" i="17"/>
  <c r="F241" i="17"/>
  <c r="E241" i="17"/>
  <c r="F257" i="17"/>
  <c r="E257" i="17"/>
  <c r="F265" i="17"/>
  <c r="E265" i="17"/>
  <c r="F273" i="17"/>
  <c r="E273" i="17"/>
  <c r="F281" i="17"/>
  <c r="E281" i="17"/>
  <c r="F289" i="17"/>
  <c r="E289" i="17"/>
  <c r="F297" i="17"/>
  <c r="E297" i="17"/>
  <c r="F305" i="17"/>
  <c r="E305" i="17"/>
  <c r="F321" i="17"/>
  <c r="E321" i="17"/>
  <c r="F329" i="17"/>
  <c r="E329" i="17"/>
  <c r="F337" i="17"/>
  <c r="E337" i="17"/>
  <c r="F345" i="17"/>
  <c r="E345" i="17"/>
  <c r="F353" i="17"/>
  <c r="E353" i="17"/>
  <c r="F361" i="17"/>
  <c r="E361" i="17"/>
  <c r="F369" i="17"/>
  <c r="E369" i="17"/>
  <c r="F377" i="17"/>
  <c r="E377" i="17"/>
  <c r="F385" i="17"/>
  <c r="E385" i="17"/>
  <c r="F393" i="17"/>
  <c r="E393" i="17"/>
  <c r="F401" i="17"/>
  <c r="E401" i="17"/>
  <c r="F409" i="17"/>
  <c r="E409" i="17"/>
  <c r="F417" i="17"/>
  <c r="E417" i="17"/>
  <c r="F425" i="17"/>
  <c r="E425" i="17"/>
  <c r="E208" i="17"/>
  <c r="F799" i="17"/>
  <c r="F117" i="17"/>
  <c r="E117" i="17"/>
  <c r="F141" i="17"/>
  <c r="E141" i="17"/>
  <c r="F173" i="17"/>
  <c r="E173" i="17"/>
  <c r="F245" i="17"/>
  <c r="E245" i="17"/>
  <c r="F77" i="17"/>
  <c r="E77" i="17"/>
  <c r="F88" i="17"/>
  <c r="E88" i="17"/>
  <c r="F96" i="17"/>
  <c r="E96" i="17"/>
  <c r="F105" i="17"/>
  <c r="E105" i="17"/>
  <c r="F114" i="17"/>
  <c r="E114" i="17"/>
  <c r="F122" i="17"/>
  <c r="E122" i="17"/>
  <c r="F130" i="17"/>
  <c r="E130" i="17"/>
  <c r="F138" i="17"/>
  <c r="E138" i="17"/>
  <c r="F146" i="17"/>
  <c r="E146" i="17"/>
  <c r="F154" i="17"/>
  <c r="E154" i="17"/>
  <c r="F162" i="17"/>
  <c r="E162" i="17"/>
  <c r="F170" i="17"/>
  <c r="E170" i="17"/>
  <c r="F178" i="17"/>
  <c r="E178" i="17"/>
  <c r="F186" i="17"/>
  <c r="E186" i="17"/>
  <c r="F194" i="17"/>
  <c r="E194" i="17"/>
  <c r="F202" i="17"/>
  <c r="E202" i="17"/>
  <c r="F210" i="17"/>
  <c r="E210" i="17"/>
  <c r="F218" i="17"/>
  <c r="E218" i="17"/>
  <c r="F226" i="17"/>
  <c r="E226" i="17"/>
  <c r="F234" i="17"/>
  <c r="E234" i="17"/>
  <c r="F242" i="17"/>
  <c r="E242" i="17"/>
  <c r="F250" i="17"/>
  <c r="E250" i="17"/>
  <c r="F258" i="17"/>
  <c r="E258" i="17"/>
  <c r="E352" i="17"/>
  <c r="E185" i="17"/>
  <c r="F91" i="17"/>
  <c r="E91" i="17"/>
  <c r="F221" i="17"/>
  <c r="E221" i="17"/>
  <c r="F80" i="17"/>
  <c r="E80" i="17"/>
  <c r="F89" i="17"/>
  <c r="E89" i="17"/>
  <c r="F97" i="17"/>
  <c r="E97" i="17"/>
  <c r="F115" i="17"/>
  <c r="E115" i="17"/>
  <c r="F123" i="17"/>
  <c r="E123" i="17"/>
  <c r="F131" i="17"/>
  <c r="E131" i="17"/>
  <c r="F139" i="17"/>
  <c r="E139" i="17"/>
  <c r="F147" i="17"/>
  <c r="E147" i="17"/>
  <c r="F155" i="17"/>
  <c r="E155" i="17"/>
  <c r="F163" i="17"/>
  <c r="E163" i="17"/>
  <c r="F171" i="17"/>
  <c r="E171" i="17"/>
  <c r="F179" i="17"/>
  <c r="E179" i="17"/>
  <c r="F187" i="17"/>
  <c r="E187" i="17"/>
  <c r="F195" i="17"/>
  <c r="E195" i="17"/>
  <c r="F203" i="17"/>
  <c r="E203" i="17"/>
  <c r="F211" i="17"/>
  <c r="E211" i="17"/>
  <c r="F219" i="17"/>
  <c r="E219" i="17"/>
  <c r="F227" i="17"/>
  <c r="E227" i="17"/>
  <c r="F235" i="17"/>
  <c r="E235" i="17"/>
  <c r="F243" i="17"/>
  <c r="E243" i="17"/>
  <c r="F251" i="17"/>
  <c r="E251" i="17"/>
  <c r="F259" i="17"/>
  <c r="E259" i="17"/>
  <c r="F267" i="17"/>
  <c r="E267" i="17"/>
  <c r="F275" i="17"/>
  <c r="E275" i="17"/>
  <c r="F283" i="17"/>
  <c r="E283" i="17"/>
  <c r="F291" i="17"/>
  <c r="E291" i="17"/>
  <c r="F299" i="17"/>
  <c r="E299" i="17"/>
  <c r="F307" i="17"/>
  <c r="E307" i="17"/>
  <c r="F315" i="17"/>
  <c r="E315" i="17"/>
  <c r="F323" i="17"/>
  <c r="E323" i="17"/>
  <c r="F331" i="17"/>
  <c r="E331" i="17"/>
  <c r="F339" i="17"/>
  <c r="E339" i="17"/>
  <c r="F347" i="17"/>
  <c r="E347" i="17"/>
  <c r="F355" i="17"/>
  <c r="E355" i="17"/>
  <c r="F363" i="17"/>
  <c r="E363" i="17"/>
  <c r="F371" i="17"/>
  <c r="E371" i="17"/>
  <c r="F379" i="17"/>
  <c r="E379" i="17"/>
  <c r="E336" i="17"/>
  <c r="F133" i="17"/>
  <c r="E133" i="17"/>
  <c r="F65" i="17"/>
  <c r="E65" i="17"/>
  <c r="F73" i="17"/>
  <c r="E73" i="17"/>
  <c r="F81" i="17"/>
  <c r="E81" i="17"/>
  <c r="F107" i="17"/>
  <c r="E107" i="17"/>
  <c r="E116" i="17"/>
  <c r="F116" i="17"/>
  <c r="E124" i="17"/>
  <c r="F124" i="17"/>
  <c r="F132" i="17"/>
  <c r="E132" i="17"/>
  <c r="F140" i="17"/>
  <c r="E140" i="17"/>
  <c r="F148" i="17"/>
  <c r="E148" i="17"/>
  <c r="F156" i="17"/>
  <c r="E156" i="17"/>
  <c r="E164" i="17"/>
  <c r="F164" i="17"/>
  <c r="E172" i="17"/>
  <c r="F172" i="17"/>
  <c r="E180" i="17"/>
  <c r="F180" i="17"/>
  <c r="E188" i="17"/>
  <c r="F188" i="17"/>
  <c r="F196" i="17"/>
  <c r="E196" i="17"/>
  <c r="F204" i="17"/>
  <c r="E204" i="17"/>
  <c r="F212" i="17"/>
  <c r="E212" i="17"/>
  <c r="F220" i="17"/>
  <c r="E220" i="17"/>
  <c r="E228" i="17"/>
  <c r="F228" i="17"/>
  <c r="E236" i="17"/>
  <c r="F236" i="17"/>
  <c r="E244" i="17"/>
  <c r="F244" i="17"/>
  <c r="E252" i="17"/>
  <c r="F252" i="17"/>
  <c r="F260" i="17"/>
  <c r="E260" i="17"/>
  <c r="F268" i="17"/>
  <c r="E268" i="17"/>
  <c r="F276" i="17"/>
  <c r="E276" i="17"/>
  <c r="F284" i="17"/>
  <c r="E284" i="17"/>
  <c r="E292" i="17"/>
  <c r="F292" i="17"/>
  <c r="E300" i="17"/>
  <c r="F300" i="17"/>
  <c r="E308" i="17"/>
  <c r="F308" i="17"/>
  <c r="F316" i="17"/>
  <c r="E316" i="17"/>
  <c r="F324" i="17"/>
  <c r="E324" i="17"/>
  <c r="E332" i="17"/>
  <c r="F332" i="17"/>
  <c r="E340" i="17"/>
  <c r="F340" i="17"/>
  <c r="E313" i="17"/>
  <c r="E144" i="17"/>
  <c r="E858" i="17"/>
  <c r="E850" i="17"/>
  <c r="E842" i="17"/>
  <c r="E834" i="17"/>
  <c r="E826" i="17"/>
  <c r="E818" i="17"/>
  <c r="E810" i="17"/>
  <c r="E802" i="17"/>
  <c r="E794" i="17"/>
  <c r="E786" i="17"/>
  <c r="E778" i="17"/>
  <c r="E770" i="17"/>
  <c r="E762" i="17"/>
  <c r="E754" i="17"/>
  <c r="E746" i="17"/>
  <c r="E738" i="17"/>
  <c r="E730" i="17"/>
  <c r="E722" i="17"/>
  <c r="E714" i="17"/>
  <c r="E706" i="17"/>
  <c r="E698" i="17"/>
  <c r="E690" i="17"/>
  <c r="E682" i="17"/>
  <c r="E674" i="17"/>
  <c r="E666" i="17"/>
  <c r="E658" i="17"/>
  <c r="E650" i="17"/>
  <c r="E642" i="17"/>
  <c r="E634" i="17"/>
  <c r="E626" i="17"/>
  <c r="E618" i="17"/>
  <c r="E610" i="17"/>
  <c r="E602" i="17"/>
  <c r="E594" i="17"/>
  <c r="E586" i="17"/>
  <c r="E578" i="17"/>
  <c r="E570" i="17"/>
  <c r="E562" i="17"/>
  <c r="E554" i="17"/>
  <c r="E546" i="17"/>
  <c r="E538" i="17"/>
  <c r="E530" i="17"/>
  <c r="E522" i="17"/>
  <c r="E514" i="17"/>
  <c r="E506" i="17"/>
  <c r="E498" i="17"/>
  <c r="E490" i="17"/>
  <c r="E482" i="17"/>
  <c r="E474" i="17"/>
  <c r="E466" i="17"/>
  <c r="E458" i="17"/>
  <c r="E450" i="17"/>
  <c r="E441" i="17"/>
  <c r="E421" i="17"/>
  <c r="E397" i="17"/>
  <c r="F713" i="17"/>
  <c r="F585" i="17"/>
  <c r="F404" i="17"/>
  <c r="E857" i="17"/>
  <c r="E849" i="17"/>
  <c r="E841" i="17"/>
  <c r="E833" i="17"/>
  <c r="E825" i="17"/>
  <c r="E817" i="17"/>
  <c r="E809" i="17"/>
  <c r="E801" i="17"/>
  <c r="E793" i="17"/>
  <c r="E785" i="17"/>
  <c r="E777" i="17"/>
  <c r="E769" i="17"/>
  <c r="E761" i="17"/>
  <c r="E753" i="17"/>
  <c r="E745" i="17"/>
  <c r="E737" i="17"/>
  <c r="E721" i="17"/>
  <c r="E705" i="17"/>
  <c r="E697" i="17"/>
  <c r="E689" i="17"/>
  <c r="E681" i="17"/>
  <c r="E673" i="17"/>
  <c r="E665" i="17"/>
  <c r="E657" i="17"/>
  <c r="E649" i="17"/>
  <c r="E641" i="17"/>
  <c r="E633" i="17"/>
  <c r="E625" i="17"/>
  <c r="E617" i="17"/>
  <c r="E609" i="17"/>
  <c r="E593" i="17"/>
  <c r="E577" i="17"/>
  <c r="E569" i="17"/>
  <c r="E561" i="17"/>
  <c r="E553" i="17"/>
  <c r="E545" i="17"/>
  <c r="E537" i="17"/>
  <c r="E529" i="17"/>
  <c r="E521" i="17"/>
  <c r="E513" i="17"/>
  <c r="E505" i="17"/>
  <c r="E497" i="17"/>
  <c r="E489" i="17"/>
  <c r="E481" i="17"/>
  <c r="E473" i="17"/>
  <c r="E465" i="17"/>
  <c r="E457" i="17"/>
  <c r="E449" i="17"/>
  <c r="E440" i="17"/>
  <c r="E420" i="17"/>
  <c r="E408" i="17"/>
  <c r="E396" i="17"/>
  <c r="E380" i="17"/>
  <c r="E364" i="17"/>
  <c r="E348" i="17"/>
  <c r="F372" i="17"/>
  <c r="F266" i="17"/>
  <c r="E266" i="17"/>
  <c r="F274" i="17"/>
  <c r="E274" i="17"/>
  <c r="F282" i="17"/>
  <c r="E282" i="17"/>
  <c r="F290" i="17"/>
  <c r="E290" i="17"/>
  <c r="F298" i="17"/>
  <c r="E298" i="17"/>
  <c r="F306" i="17"/>
  <c r="E306" i="17"/>
  <c r="F314" i="17"/>
  <c r="E314" i="17"/>
  <c r="F322" i="17"/>
  <c r="E322" i="17"/>
  <c r="F330" i="17"/>
  <c r="E330" i="17"/>
  <c r="F338" i="17"/>
  <c r="E338" i="17"/>
  <c r="F346" i="17"/>
  <c r="E346" i="17"/>
  <c r="F354" i="17"/>
  <c r="E354" i="17"/>
  <c r="F362" i="17"/>
  <c r="E362" i="17"/>
  <c r="F370" i="17"/>
  <c r="E370" i="17"/>
  <c r="F378" i="17"/>
  <c r="E378" i="17"/>
  <c r="F386" i="17"/>
  <c r="E386" i="17"/>
  <c r="F394" i="17"/>
  <c r="E394" i="17"/>
  <c r="F402" i="17"/>
  <c r="E402" i="17"/>
  <c r="F410" i="17"/>
  <c r="E410" i="17"/>
  <c r="F418" i="17"/>
  <c r="E418" i="17"/>
  <c r="F426" i="17"/>
  <c r="E426" i="17"/>
  <c r="F434" i="17"/>
  <c r="E434" i="17"/>
  <c r="F442" i="17"/>
  <c r="E442" i="17"/>
  <c r="E856" i="17"/>
  <c r="E848" i="17"/>
  <c r="E840" i="17"/>
  <c r="E832" i="17"/>
  <c r="E824" i="17"/>
  <c r="E816" i="17"/>
  <c r="E808" i="17"/>
  <c r="E800" i="17"/>
  <c r="E792" i="17"/>
  <c r="E784" i="17"/>
  <c r="E776" i="17"/>
  <c r="E768" i="17"/>
  <c r="E760" i="17"/>
  <c r="E752" i="17"/>
  <c r="E744" i="17"/>
  <c r="E736" i="17"/>
  <c r="E728" i="17"/>
  <c r="E720" i="17"/>
  <c r="E712" i="17"/>
  <c r="E704" i="17"/>
  <c r="E696" i="17"/>
  <c r="E688" i="17"/>
  <c r="E680" i="17"/>
  <c r="E672" i="17"/>
  <c r="E664" i="17"/>
  <c r="E656" i="17"/>
  <c r="E648" i="17"/>
  <c r="E640" i="17"/>
  <c r="E632" i="17"/>
  <c r="E624" i="17"/>
  <c r="E616" i="17"/>
  <c r="E608" i="17"/>
  <c r="E600" i="17"/>
  <c r="E592" i="17"/>
  <c r="E584" i="17"/>
  <c r="E576" i="17"/>
  <c r="E568" i="17"/>
  <c r="E560" i="17"/>
  <c r="E552" i="17"/>
  <c r="E544" i="17"/>
  <c r="E536" i="17"/>
  <c r="E528" i="17"/>
  <c r="E520" i="17"/>
  <c r="E512" i="17"/>
  <c r="E504" i="17"/>
  <c r="E496" i="17"/>
  <c r="E488" i="17"/>
  <c r="E480" i="17"/>
  <c r="E472" i="17"/>
  <c r="E464" i="17"/>
  <c r="E456" i="17"/>
  <c r="E448" i="17"/>
  <c r="E429" i="17"/>
  <c r="F387" i="17"/>
  <c r="E387" i="17"/>
  <c r="F395" i="17"/>
  <c r="E395" i="17"/>
  <c r="F403" i="17"/>
  <c r="E403" i="17"/>
  <c r="F411" i="17"/>
  <c r="E411" i="17"/>
  <c r="F419" i="17"/>
  <c r="E419" i="17"/>
  <c r="F427" i="17"/>
  <c r="E427" i="17"/>
  <c r="F435" i="17"/>
  <c r="E435" i="17"/>
  <c r="E428" i="17"/>
  <c r="E416" i="17"/>
  <c r="E405" i="17"/>
  <c r="E392" i="17"/>
  <c r="E376" i="17"/>
  <c r="E360" i="17"/>
  <c r="E854" i="17"/>
  <c r="E846" i="17"/>
  <c r="E838" i="17"/>
  <c r="E830" i="17"/>
  <c r="E822" i="17"/>
  <c r="E814" i="17"/>
  <c r="E806" i="17"/>
  <c r="E798" i="17"/>
  <c r="E790" i="17"/>
  <c r="E782" i="17"/>
  <c r="E774" i="17"/>
  <c r="E766" i="17"/>
  <c r="E758" i="17"/>
  <c r="E750" i="17"/>
  <c r="E742" i="17"/>
  <c r="E734" i="17"/>
  <c r="E726" i="17"/>
  <c r="E718" i="17"/>
  <c r="E710" i="17"/>
  <c r="E702" i="17"/>
  <c r="E694" i="17"/>
  <c r="E686" i="17"/>
  <c r="E678" i="17"/>
  <c r="E670" i="17"/>
  <c r="E662" i="17"/>
  <c r="E654" i="17"/>
  <c r="E646" i="17"/>
  <c r="E638" i="17"/>
  <c r="E630" i="17"/>
  <c r="E622" i="17"/>
  <c r="E614" i="17"/>
  <c r="E606" i="17"/>
  <c r="E598" i="17"/>
  <c r="E590" i="17"/>
  <c r="E582" i="17"/>
  <c r="E574" i="17"/>
  <c r="E566" i="17"/>
  <c r="E558" i="17"/>
  <c r="E550" i="17"/>
  <c r="E542" i="17"/>
  <c r="E534" i="17"/>
  <c r="E526" i="17"/>
  <c r="E518" i="17"/>
  <c r="E510" i="17"/>
  <c r="E502" i="17"/>
  <c r="E494" i="17"/>
  <c r="E486" i="17"/>
  <c r="E478" i="17"/>
  <c r="E470" i="17"/>
  <c r="E462" i="17"/>
  <c r="E437" i="17"/>
  <c r="F325" i="17"/>
  <c r="E325" i="17"/>
  <c r="F333" i="17"/>
  <c r="E333" i="17"/>
  <c r="F341" i="17"/>
  <c r="E341" i="17"/>
  <c r="F349" i="17"/>
  <c r="E349" i="17"/>
  <c r="F357" i="17"/>
  <c r="E357" i="17"/>
  <c r="F365" i="17"/>
  <c r="E365" i="17"/>
  <c r="F373" i="17"/>
  <c r="E373" i="17"/>
  <c r="F381" i="17"/>
  <c r="E381" i="17"/>
  <c r="F389" i="17"/>
  <c r="E389" i="17"/>
  <c r="E853" i="17"/>
  <c r="E845" i="17"/>
  <c r="E837" i="17"/>
  <c r="E829" i="17"/>
  <c r="E821" i="17"/>
  <c r="E813" i="17"/>
  <c r="E805" i="17"/>
  <c r="E797" i="17"/>
  <c r="E789" i="17"/>
  <c r="E781" i="17"/>
  <c r="E773" i="17"/>
  <c r="E765" i="17"/>
  <c r="E757" i="17"/>
  <c r="E749" i="17"/>
  <c r="E741" i="17"/>
  <c r="E733" i="17"/>
  <c r="E725" i="17"/>
  <c r="E717" i="17"/>
  <c r="E709" i="17"/>
  <c r="E701" i="17"/>
  <c r="E693" i="17"/>
  <c r="E685" i="17"/>
  <c r="E677" i="17"/>
  <c r="E669" i="17"/>
  <c r="E661" i="17"/>
  <c r="E653" i="17"/>
  <c r="E645" i="17"/>
  <c r="E637" i="17"/>
  <c r="E629" i="17"/>
  <c r="E621" i="17"/>
  <c r="E613" i="17"/>
  <c r="E605" i="17"/>
  <c r="E597" i="17"/>
  <c r="E589" i="17"/>
  <c r="E581" i="17"/>
  <c r="E573" i="17"/>
  <c r="E565" i="17"/>
  <c r="E557" i="17"/>
  <c r="E549" i="17"/>
  <c r="E541" i="17"/>
  <c r="E533" i="17"/>
  <c r="E525" i="17"/>
  <c r="E517" i="17"/>
  <c r="H517" i="17" s="1"/>
  <c r="E509" i="17"/>
  <c r="E501" i="17"/>
  <c r="E493" i="17"/>
  <c r="E485" i="17"/>
  <c r="E477" i="17"/>
  <c r="E469" i="17"/>
  <c r="E461" i="17"/>
  <c r="E453" i="17"/>
  <c r="E445" i="17"/>
  <c r="E424" i="17"/>
  <c r="E388" i="17"/>
  <c r="E356" i="17"/>
  <c r="F500" i="17"/>
  <c r="E780" i="17"/>
  <c r="E772" i="17"/>
  <c r="E764" i="17"/>
  <c r="E756" i="17"/>
  <c r="E748" i="17"/>
  <c r="E740" i="17"/>
  <c r="E732" i="17"/>
  <c r="E724" i="17"/>
  <c r="E716" i="17"/>
  <c r="E708" i="17"/>
  <c r="E700" i="17"/>
  <c r="E692" i="17"/>
  <c r="E684" i="17"/>
  <c r="E676" i="17"/>
  <c r="E668" i="17"/>
  <c r="E660" i="17"/>
  <c r="E652" i="17"/>
  <c r="E644" i="17"/>
  <c r="E636" i="17"/>
  <c r="E628" i="17"/>
  <c r="E620" i="17"/>
  <c r="E612" i="17"/>
  <c r="E604" i="17"/>
  <c r="E596" i="17"/>
  <c r="E588" i="17"/>
  <c r="E580" i="17"/>
  <c r="E572" i="17"/>
  <c r="E564" i="17"/>
  <c r="E556" i="17"/>
  <c r="E548" i="17"/>
  <c r="E540" i="17"/>
  <c r="E532" i="17"/>
  <c r="E524" i="17"/>
  <c r="E516" i="17"/>
  <c r="E508" i="17"/>
  <c r="E492" i="17"/>
  <c r="E484" i="17"/>
  <c r="E476" i="17"/>
  <c r="E468" i="17"/>
  <c r="E460" i="17"/>
  <c r="E452" i="17"/>
  <c r="E444" i="17"/>
  <c r="E433" i="17"/>
  <c r="E413" i="17"/>
  <c r="E400" i="17"/>
  <c r="E62" i="17"/>
  <c r="E106" i="17"/>
  <c r="E98" i="17"/>
  <c r="E90" i="17"/>
  <c r="E82" i="17"/>
  <c r="E74" i="17"/>
  <c r="E66" i="17"/>
  <c r="E72" i="17"/>
  <c r="E64" i="17"/>
  <c r="E103" i="17"/>
  <c r="E95" i="17"/>
  <c r="E87" i="17"/>
  <c r="E79" i="17"/>
  <c r="E71" i="17"/>
  <c r="E63" i="17"/>
  <c r="E102" i="17"/>
  <c r="E94" i="17"/>
  <c r="E86" i="17"/>
  <c r="E78" i="17"/>
  <c r="E70" i="17"/>
  <c r="H479" i="17" l="1"/>
  <c r="H159" i="17"/>
  <c r="H200" i="17"/>
  <c r="H125" i="17"/>
  <c r="H141" i="17"/>
  <c r="H629" i="17"/>
  <c r="H535" i="17"/>
  <c r="H137" i="17"/>
  <c r="H293" i="17"/>
  <c r="H119" i="17"/>
  <c r="H133" i="17"/>
  <c r="H507" i="17"/>
  <c r="H163" i="17"/>
  <c r="H131" i="17"/>
  <c r="H320" i="17"/>
  <c r="H181" i="17"/>
  <c r="H707" i="17"/>
  <c r="H169" i="17"/>
  <c r="H531" i="17"/>
  <c r="H626" i="17"/>
  <c r="H547" i="17"/>
  <c r="H569" i="17"/>
  <c r="H565" i="17"/>
  <c r="H501" i="17"/>
  <c r="H175" i="17"/>
  <c r="H711" i="17"/>
  <c r="H551" i="17"/>
  <c r="H519" i="17"/>
  <c r="H167" i="17"/>
  <c r="H135" i="17"/>
  <c r="H729" i="17"/>
  <c r="H821" i="17"/>
  <c r="H497" i="17"/>
  <c r="H493" i="17"/>
  <c r="H587" i="17"/>
  <c r="H803" i="17"/>
  <c r="H713" i="17"/>
  <c r="H489" i="17"/>
  <c r="H121" i="17"/>
  <c r="H533" i="17"/>
  <c r="H537" i="17"/>
  <c r="H145" i="17"/>
  <c r="H589" i="17"/>
  <c r="H618" i="17"/>
  <c r="H491" i="17"/>
  <c r="H614" i="17"/>
  <c r="H754" i="17"/>
  <c r="H567" i="17"/>
  <c r="H183" i="17"/>
  <c r="H151" i="17"/>
  <c r="H788" i="17"/>
  <c r="H705" i="17"/>
  <c r="H598" i="17"/>
  <c r="H509" i="17"/>
  <c r="H832" i="17"/>
  <c r="H672" i="17"/>
  <c r="H608" i="17"/>
  <c r="H549" i="17"/>
  <c r="H553" i="17"/>
  <c r="H171" i="17"/>
  <c r="H117" i="17"/>
  <c r="H161" i="17"/>
  <c r="H129" i="17"/>
  <c r="H563" i="17"/>
  <c r="H778" i="17"/>
  <c r="H515" i="17"/>
  <c r="H98" i="17"/>
  <c r="H477" i="17"/>
  <c r="H179" i="17"/>
  <c r="H157" i="17"/>
  <c r="H149" i="17"/>
  <c r="H126" i="46" s="1"/>
  <c r="H173" i="17"/>
  <c r="H177" i="17"/>
  <c r="H115" i="17"/>
  <c r="H147" i="17"/>
  <c r="H709" i="17"/>
  <c r="H418" i="17"/>
  <c r="H521" i="17"/>
  <c r="H585" i="17"/>
  <c r="H153" i="17"/>
  <c r="H113" i="17"/>
  <c r="H703" i="17"/>
  <c r="H319" i="17"/>
  <c r="H165" i="17"/>
  <c r="H123" i="17"/>
  <c r="H139" i="17"/>
  <c r="H155" i="17"/>
  <c r="H762" i="17"/>
  <c r="H244" i="17"/>
  <c r="H224" i="17"/>
  <c r="H492" i="17"/>
  <c r="H751" i="17"/>
  <c r="H818" i="17"/>
  <c r="H575" i="17"/>
  <c r="H555" i="17"/>
  <c r="H539" i="17"/>
  <c r="H523" i="17"/>
  <c r="H499" i="17"/>
  <c r="H442" i="17"/>
  <c r="H606" i="17"/>
  <c r="H573" i="17"/>
  <c r="H192" i="17"/>
  <c r="H715" i="17"/>
  <c r="H571" i="17"/>
  <c r="H561" i="17"/>
  <c r="H545" i="17"/>
  <c r="H529" i="17"/>
  <c r="H513" i="17"/>
  <c r="H505" i="17"/>
  <c r="H850" i="17"/>
  <c r="H96" i="17"/>
  <c r="H855" i="17"/>
  <c r="H802" i="17"/>
  <c r="H834" i="17"/>
  <c r="H776" i="17"/>
  <c r="H464" i="17"/>
  <c r="H309" i="17"/>
  <c r="H610" i="17"/>
  <c r="H414" i="17"/>
  <c r="H329" i="17"/>
  <c r="H557" i="17"/>
  <c r="H541" i="17"/>
  <c r="H525" i="17"/>
  <c r="H328" i="17"/>
  <c r="H720" i="17"/>
  <c r="H794" i="17"/>
  <c r="H764" i="17"/>
  <c r="H731" i="17"/>
  <c r="H638" i="17"/>
  <c r="H615" i="17"/>
  <c r="H607" i="17"/>
  <c r="H444" i="17"/>
  <c r="H399" i="17"/>
  <c r="H337" i="17"/>
  <c r="H367" i="17"/>
  <c r="H340" i="17"/>
  <c r="H397" i="17"/>
  <c r="H355" i="17"/>
  <c r="H205" i="17"/>
  <c r="H197" i="17"/>
  <c r="H189" i="17"/>
  <c r="H105" i="17"/>
  <c r="H799" i="17"/>
  <c r="H94" i="17"/>
  <c r="H772" i="17"/>
  <c r="H454" i="17"/>
  <c r="H326" i="17"/>
  <c r="H101" i="17"/>
  <c r="H111" i="17"/>
  <c r="H127" i="17"/>
  <c r="H143" i="17"/>
  <c r="H490" i="17"/>
  <c r="H92" i="17"/>
  <c r="H743" i="17"/>
  <c r="H184" i="17"/>
  <c r="H295" i="17"/>
  <c r="H812" i="17"/>
  <c r="H90" i="17"/>
  <c r="H728" i="17"/>
  <c r="H669" i="17"/>
  <c r="H645" i="17"/>
  <c r="H559" i="17"/>
  <c r="H543" i="17"/>
  <c r="H527" i="17"/>
  <c r="H503" i="17"/>
  <c r="H495" i="17"/>
  <c r="H88" i="17"/>
  <c r="H833" i="17"/>
  <c r="H770" i="17"/>
  <c r="H733" i="17"/>
  <c r="H725" i="17"/>
  <c r="H581" i="17"/>
  <c r="H252" i="17"/>
  <c r="H254" i="17"/>
  <c r="H201" i="17"/>
  <c r="H193" i="17"/>
  <c r="H291" i="17"/>
  <c r="H299" i="17"/>
  <c r="H315" i="17"/>
  <c r="H600" i="17"/>
  <c r="H594" i="17"/>
  <c r="H106" i="17"/>
  <c r="H86" i="17"/>
  <c r="H841" i="17"/>
  <c r="H677" i="17"/>
  <c r="H440" i="17"/>
  <c r="H346" i="17"/>
  <c r="H419" i="17"/>
  <c r="H359" i="17"/>
  <c r="H393" i="17"/>
  <c r="H321" i="17"/>
  <c r="H604" i="17"/>
  <c r="H795" i="17"/>
  <c r="H790" i="17"/>
  <c r="H755" i="17"/>
  <c r="H782" i="17"/>
  <c r="H630" i="17"/>
  <c r="H583" i="17"/>
  <c r="H262" i="17"/>
  <c r="H268" i="17"/>
  <c r="H270" i="17"/>
  <c r="H204" i="17"/>
  <c r="H196" i="17"/>
  <c r="H188" i="17"/>
  <c r="H108" i="17"/>
  <c r="H303" i="17"/>
  <c r="H616" i="17"/>
  <c r="H620" i="17"/>
  <c r="H828" i="17"/>
  <c r="H653" i="17"/>
  <c r="H452" i="17"/>
  <c r="H307" i="17"/>
  <c r="H596" i="17"/>
  <c r="H663" i="17"/>
  <c r="H665" i="17"/>
  <c r="H486" i="17"/>
  <c r="H423" i="17"/>
  <c r="H426" i="17"/>
  <c r="H383" i="17"/>
  <c r="H364" i="17"/>
  <c r="H349" i="17"/>
  <c r="H353" i="17"/>
  <c r="H413" i="17"/>
  <c r="H381" i="17"/>
  <c r="H336" i="17"/>
  <c r="H284" i="17"/>
  <c r="H220" i="17"/>
  <c r="H286" i="17"/>
  <c r="H222" i="17"/>
  <c r="H276" i="17"/>
  <c r="H212" i="17"/>
  <c r="H522" i="17"/>
  <c r="H538" i="17"/>
  <c r="H554" i="17"/>
  <c r="H570" i="17"/>
  <c r="H288" i="17"/>
  <c r="H311" i="17"/>
  <c r="H496" i="17"/>
  <c r="H612" i="17"/>
  <c r="H793" i="17"/>
  <c r="H854" i="17"/>
  <c r="H856" i="17"/>
  <c r="H511" i="17"/>
  <c r="H422" i="17"/>
  <c r="H482" i="17"/>
  <c r="H230" i="17"/>
  <c r="H83" i="17"/>
  <c r="H75" i="17"/>
  <c r="H741" i="17"/>
  <c r="H637" i="17"/>
  <c r="H650" i="17"/>
  <c r="H425" i="17"/>
  <c r="H361" i="17"/>
  <c r="H332" i="17"/>
  <c r="H848" i="17"/>
  <c r="H822" i="17"/>
  <c r="H727" i="17"/>
  <c r="H579" i="17"/>
  <c r="H327" i="17"/>
  <c r="H109" i="17"/>
  <c r="H301" i="17"/>
  <c r="H317" i="17"/>
  <c r="H602" i="17"/>
  <c r="H514" i="17"/>
  <c r="H530" i="17"/>
  <c r="H546" i="17"/>
  <c r="H562" i="17"/>
  <c r="H816" i="17"/>
  <c r="H845" i="17"/>
  <c r="H768" i="17"/>
  <c r="H678" i="17"/>
  <c r="H379" i="17"/>
  <c r="H356" i="17"/>
  <c r="H409" i="17"/>
  <c r="H377" i="17"/>
  <c r="H360" i="17"/>
  <c r="H801" i="17"/>
  <c r="H846" i="17"/>
  <c r="H805" i="17"/>
  <c r="H838" i="17"/>
  <c r="H824" i="17"/>
  <c r="H840" i="17"/>
  <c r="H814" i="17"/>
  <c r="H779" i="17"/>
  <c r="H753" i="17"/>
  <c r="H759" i="17"/>
  <c r="H724" i="17"/>
  <c r="H739" i="17"/>
  <c r="H737" i="17"/>
  <c r="H660" i="17"/>
  <c r="H675" i="17"/>
  <c r="H735" i="17"/>
  <c r="H639" i="17"/>
  <c r="H649" i="17"/>
  <c r="H617" i="17"/>
  <c r="H609" i="17"/>
  <c r="H601" i="17"/>
  <c r="H633" i="17"/>
  <c r="H659" i="17"/>
  <c r="H809" i="17"/>
  <c r="H777" i="17"/>
  <c r="H722" i="17"/>
  <c r="H717" i="17"/>
  <c r="H698" i="17"/>
  <c r="H745" i="17"/>
  <c r="H691" i="17"/>
  <c r="H681" i="17"/>
  <c r="H658" i="17"/>
  <c r="H685" i="17"/>
  <c r="H695" i="17"/>
  <c r="H640" i="17"/>
  <c r="H853" i="17"/>
  <c r="H806" i="17"/>
  <c r="H798" i="17"/>
  <c r="H775" i="17"/>
  <c r="H786" i="17"/>
  <c r="H811" i="17"/>
  <c r="H765" i="17"/>
  <c r="H696" i="17"/>
  <c r="H747" i="17"/>
  <c r="H679" i="17"/>
  <c r="H674" i="17"/>
  <c r="H656" i="17"/>
  <c r="H648" i="17"/>
  <c r="H646" i="17"/>
  <c r="H635" i="17"/>
  <c r="H719" i="17"/>
  <c r="H627" i="17"/>
  <c r="H628" i="17"/>
  <c r="H851" i="17"/>
  <c r="H837" i="17"/>
  <c r="H773" i="17"/>
  <c r="H718" i="17"/>
  <c r="H749" i="17"/>
  <c r="H694" i="17"/>
  <c r="H670" i="17"/>
  <c r="H654" i="17"/>
  <c r="H625" i="17"/>
  <c r="H593" i="17"/>
  <c r="H789" i="17"/>
  <c r="H761" i="17"/>
  <c r="H849" i="17"/>
  <c r="H825" i="17"/>
  <c r="H787" i="17"/>
  <c r="H771" i="17"/>
  <c r="H780" i="17"/>
  <c r="H808" i="17"/>
  <c r="H732" i="17"/>
  <c r="H716" i="17"/>
  <c r="H767" i="17"/>
  <c r="H692" i="17"/>
  <c r="H687" i="17"/>
  <c r="H668" i="17"/>
  <c r="H652" i="17"/>
  <c r="H699" i="17"/>
  <c r="H634" i="17"/>
  <c r="H631" i="17"/>
  <c r="H701" i="17"/>
  <c r="H623" i="17"/>
  <c r="H613" i="17"/>
  <c r="H605" i="17"/>
  <c r="H636" i="17"/>
  <c r="H657" i="17"/>
  <c r="H676" i="17"/>
  <c r="H577" i="17"/>
  <c r="H785" i="17"/>
  <c r="H769" i="17"/>
  <c r="H757" i="17"/>
  <c r="H730" i="17"/>
  <c r="H714" i="17"/>
  <c r="H690" i="17"/>
  <c r="H673" i="17"/>
  <c r="H666" i="17"/>
  <c r="H621" i="17"/>
  <c r="H597" i="17"/>
  <c r="H847" i="17"/>
  <c r="H817" i="17"/>
  <c r="H783" i="17"/>
  <c r="H827" i="17"/>
  <c r="H763" i="17"/>
  <c r="H756" i="17"/>
  <c r="H784" i="17"/>
  <c r="H774" i="17"/>
  <c r="H758" i="17"/>
  <c r="H721" i="17"/>
  <c r="H664" i="17"/>
  <c r="H693" i="17"/>
  <c r="H683" i="17"/>
  <c r="H642" i="17"/>
  <c r="H643" i="17"/>
  <c r="H619" i="17"/>
  <c r="H611" i="17"/>
  <c r="H603" i="17"/>
  <c r="H644" i="17"/>
  <c r="H641" i="17"/>
  <c r="H599" i="17"/>
  <c r="H781" i="17"/>
  <c r="H766" i="17"/>
  <c r="H726" i="17"/>
  <c r="H760" i="17"/>
  <c r="H723" i="17"/>
  <c r="H697" i="17"/>
  <c r="H662" i="17"/>
  <c r="H689" i="17"/>
  <c r="H632" i="17"/>
  <c r="H475" i="17"/>
  <c r="H459" i="17"/>
  <c r="H443" i="17"/>
  <c r="H398" i="17"/>
  <c r="H382" i="17"/>
  <c r="H403" i="17"/>
  <c r="H371" i="17"/>
  <c r="H351" i="17"/>
  <c r="H344" i="17"/>
  <c r="H325" i="17"/>
  <c r="H304" i="17"/>
  <c r="H343" i="17"/>
  <c r="H348" i="17"/>
  <c r="H294" i="17"/>
  <c r="H271" i="17"/>
  <c r="H248" i="17"/>
  <c r="H289" i="17"/>
  <c r="H266" i="17"/>
  <c r="H225" i="17"/>
  <c r="H290" i="17"/>
  <c r="H249" i="17"/>
  <c r="H226" i="17"/>
  <c r="H231" i="17"/>
  <c r="H103" i="17"/>
  <c r="H87" i="17"/>
  <c r="H128" i="17"/>
  <c r="H144" i="17"/>
  <c r="H160" i="17"/>
  <c r="H176" i="17"/>
  <c r="H305" i="17"/>
  <c r="H500" i="17"/>
  <c r="H622" i="17"/>
  <c r="H518" i="17"/>
  <c r="H534" i="17"/>
  <c r="H550" i="17"/>
  <c r="H566" i="17"/>
  <c r="H582" i="17"/>
  <c r="H702" i="17"/>
  <c r="H796" i="17"/>
  <c r="H748" i="17"/>
  <c r="H791" i="17"/>
  <c r="H831" i="17"/>
  <c r="H835" i="17"/>
  <c r="H107" i="17"/>
  <c r="H76" i="17"/>
  <c r="H60" i="17"/>
  <c r="H473" i="17"/>
  <c r="H457" i="17"/>
  <c r="H441" i="17"/>
  <c r="H470" i="17"/>
  <c r="H434" i="17"/>
  <c r="H412" i="17"/>
  <c r="H396" i="17"/>
  <c r="H380" i="17"/>
  <c r="H468" i="17"/>
  <c r="H448" i="17"/>
  <c r="H347" i="17"/>
  <c r="H318" i="17"/>
  <c r="H405" i="17"/>
  <c r="H373" i="17"/>
  <c r="H333" i="17"/>
  <c r="H335" i="17"/>
  <c r="H480" i="17"/>
  <c r="H352" i="17"/>
  <c r="H341" i="17"/>
  <c r="H357" i="17"/>
  <c r="H300" i="17"/>
  <c r="H298" i="17"/>
  <c r="H269" i="17"/>
  <c r="H246" i="17"/>
  <c r="H275" i="17"/>
  <c r="H211" i="17"/>
  <c r="H277" i="17"/>
  <c r="H213" i="17"/>
  <c r="H267" i="17"/>
  <c r="H256" i="17"/>
  <c r="H67" i="17"/>
  <c r="H100" i="17"/>
  <c r="H114" i="17"/>
  <c r="H130" i="17"/>
  <c r="H146" i="17"/>
  <c r="H162" i="17"/>
  <c r="H178" i="17"/>
  <c r="H324" i="17"/>
  <c r="H502" i="17"/>
  <c r="H481" i="17"/>
  <c r="H504" i="17"/>
  <c r="H520" i="17"/>
  <c r="H536" i="17"/>
  <c r="H552" i="17"/>
  <c r="H568" i="17"/>
  <c r="H584" i="17"/>
  <c r="H647" i="17"/>
  <c r="H704" i="17"/>
  <c r="H734" i="17"/>
  <c r="H750" i="17"/>
  <c r="H800" i="17"/>
  <c r="H820" i="17"/>
  <c r="H810" i="17"/>
  <c r="H842" i="17"/>
  <c r="H74" i="17"/>
  <c r="H471" i="17"/>
  <c r="H455" i="17"/>
  <c r="H439" i="17"/>
  <c r="H595" i="17"/>
  <c r="H450" i="17"/>
  <c r="H410" i="17"/>
  <c r="H394" i="17"/>
  <c r="H378" i="17"/>
  <c r="H416" i="17"/>
  <c r="H484" i="17"/>
  <c r="H430" i="17"/>
  <c r="H395" i="17"/>
  <c r="H342" i="17"/>
  <c r="H316" i="17"/>
  <c r="H302" i="17"/>
  <c r="H432" i="17"/>
  <c r="H385" i="17"/>
  <c r="E68" i="46" s="1"/>
  <c r="H358" i="17"/>
  <c r="H339" i="17"/>
  <c r="H292" i="17"/>
  <c r="H206" i="17"/>
  <c r="H198" i="17"/>
  <c r="H190" i="17"/>
  <c r="E126" i="46" s="1"/>
  <c r="H287" i="17"/>
  <c r="H264" i="17"/>
  <c r="H223" i="17"/>
  <c r="H282" i="17"/>
  <c r="H241" i="17"/>
  <c r="H218" i="17"/>
  <c r="H207" i="17"/>
  <c r="H199" i="17"/>
  <c r="H191" i="17"/>
  <c r="H112" i="17"/>
  <c r="H265" i="17"/>
  <c r="H242" i="17"/>
  <c r="H97" i="17"/>
  <c r="H116" i="17"/>
  <c r="H132" i="17"/>
  <c r="H148" i="17"/>
  <c r="H164" i="17"/>
  <c r="H180" i="17"/>
  <c r="H483" i="17"/>
  <c r="H661" i="17"/>
  <c r="H506" i="17"/>
  <c r="H586" i="17"/>
  <c r="H655" i="17"/>
  <c r="H680" i="17"/>
  <c r="H706" i="17"/>
  <c r="H736" i="17"/>
  <c r="H752" i="17"/>
  <c r="H823" i="17"/>
  <c r="H813" i="17"/>
  <c r="H858" i="17"/>
  <c r="H72" i="17"/>
  <c r="H469" i="17"/>
  <c r="H453" i="17"/>
  <c r="H437" i="17"/>
  <c r="H466" i="17"/>
  <c r="H408" i="17"/>
  <c r="H392" i="17"/>
  <c r="H376" i="17"/>
  <c r="H407" i="17"/>
  <c r="H375" i="17"/>
  <c r="H314" i="17"/>
  <c r="H331" i="17"/>
  <c r="H285" i="17"/>
  <c r="H221" i="17"/>
  <c r="H227" i="17"/>
  <c r="H110" i="17"/>
  <c r="H229" i="17"/>
  <c r="H283" i="17"/>
  <c r="H68" i="46" s="1"/>
  <c r="H69" i="46" s="1"/>
  <c r="F87" i="46" s="1"/>
  <c r="H260" i="17"/>
  <c r="H219" i="17"/>
  <c r="H185" i="17"/>
  <c r="H104" i="17"/>
  <c r="H81" i="17"/>
  <c r="H73" i="17"/>
  <c r="H65" i="17"/>
  <c r="H247" i="17"/>
  <c r="H95" i="17"/>
  <c r="H118" i="17"/>
  <c r="H134" i="17"/>
  <c r="H150" i="17"/>
  <c r="H166" i="17"/>
  <c r="H182" i="17"/>
  <c r="H485" i="17"/>
  <c r="H508" i="17"/>
  <c r="H524" i="17"/>
  <c r="H540" i="17"/>
  <c r="H556" i="17"/>
  <c r="H572" i="17"/>
  <c r="H588" i="17"/>
  <c r="H671" i="17"/>
  <c r="H682" i="17"/>
  <c r="H708" i="17"/>
  <c r="H738" i="17"/>
  <c r="H804" i="17"/>
  <c r="H830" i="17"/>
  <c r="H857" i="17"/>
  <c r="H99" i="17"/>
  <c r="H263" i="17"/>
  <c r="H70" i="17"/>
  <c r="H467" i="17"/>
  <c r="H451" i="17"/>
  <c r="H435" i="17"/>
  <c r="H420" i="17"/>
  <c r="H406" i="17"/>
  <c r="H390" i="17"/>
  <c r="H374" i="17"/>
  <c r="H456" i="17"/>
  <c r="H458" i="17"/>
  <c r="H387" i="17"/>
  <c r="H354" i="17"/>
  <c r="H312" i="17"/>
  <c r="H338" i="17"/>
  <c r="H323" i="17"/>
  <c r="H365" i="17"/>
  <c r="H280" i="17"/>
  <c r="H239" i="17"/>
  <c r="H216" i="17"/>
  <c r="H257" i="17"/>
  <c r="H234" i="17"/>
  <c r="H281" i="17"/>
  <c r="H258" i="17"/>
  <c r="H217" i="17"/>
  <c r="H272" i="17"/>
  <c r="H93" i="17"/>
  <c r="H120" i="17"/>
  <c r="H136" i="17"/>
  <c r="H152" i="17"/>
  <c r="H168" i="17"/>
  <c r="H297" i="17"/>
  <c r="H313" i="17"/>
  <c r="H494" i="17"/>
  <c r="H498" i="17"/>
  <c r="H487" i="17"/>
  <c r="H624" i="17"/>
  <c r="H592" i="17"/>
  <c r="H510" i="17"/>
  <c r="H526" i="17"/>
  <c r="H542" i="17"/>
  <c r="H558" i="17"/>
  <c r="H574" i="17"/>
  <c r="H590" i="17"/>
  <c r="H684" i="17"/>
  <c r="H710" i="17"/>
  <c r="H792" i="17"/>
  <c r="H740" i="17"/>
  <c r="H797" i="17"/>
  <c r="H815" i="17"/>
  <c r="H859" i="17"/>
  <c r="H102" i="17"/>
  <c r="H84" i="17"/>
  <c r="H68" i="17"/>
  <c r="H465" i="17"/>
  <c r="H449" i="17"/>
  <c r="H433" i="17"/>
  <c r="H404" i="17"/>
  <c r="H388" i="17"/>
  <c r="H372" i="17"/>
  <c r="H472" i="17"/>
  <c r="H415" i="17"/>
  <c r="H446" i="17"/>
  <c r="H428" i="17"/>
  <c r="H474" i="17"/>
  <c r="H424" i="17"/>
  <c r="H310" i="17"/>
  <c r="H389" i="17"/>
  <c r="H366" i="17"/>
  <c r="H345" i="17"/>
  <c r="H278" i="17"/>
  <c r="H237" i="17"/>
  <c r="H214" i="17"/>
  <c r="H243" i="17"/>
  <c r="H245" i="17"/>
  <c r="H235" i="17"/>
  <c r="H279" i="17"/>
  <c r="H79" i="17"/>
  <c r="H71" i="17"/>
  <c r="H63" i="17"/>
  <c r="H91" i="17"/>
  <c r="H240" i="17"/>
  <c r="H122" i="17"/>
  <c r="H138" i="17"/>
  <c r="H154" i="17"/>
  <c r="H170" i="17"/>
  <c r="H488" i="17"/>
  <c r="H512" i="17"/>
  <c r="H528" i="17"/>
  <c r="H544" i="17"/>
  <c r="H560" i="17"/>
  <c r="H576" i="17"/>
  <c r="H651" i="17"/>
  <c r="H686" i="17"/>
  <c r="H712" i="17"/>
  <c r="H742" i="17"/>
  <c r="H839" i="17"/>
  <c r="H826" i="17"/>
  <c r="H215" i="17"/>
  <c r="H208" i="17"/>
  <c r="H82" i="17"/>
  <c r="H66" i="17"/>
  <c r="H463" i="17"/>
  <c r="H447" i="17"/>
  <c r="H431" i="17"/>
  <c r="H460" i="17"/>
  <c r="H427" i="17"/>
  <c r="H402" i="17"/>
  <c r="H386" i="17"/>
  <c r="H370" i="17"/>
  <c r="H462" i="17"/>
  <c r="H421" i="17"/>
  <c r="H411" i="17"/>
  <c r="H308" i="17"/>
  <c r="H401" i="17"/>
  <c r="H369" i="17"/>
  <c r="H363" i="17"/>
  <c r="H350" i="17"/>
  <c r="H296" i="17"/>
  <c r="H202" i="17"/>
  <c r="H194" i="17"/>
  <c r="H186" i="17"/>
  <c r="H255" i="17"/>
  <c r="H232" i="17"/>
  <c r="H273" i="17"/>
  <c r="H250" i="17"/>
  <c r="H209" i="17"/>
  <c r="H203" i="17"/>
  <c r="H195" i="17"/>
  <c r="H187" i="17"/>
  <c r="H274" i="17"/>
  <c r="H233" i="17"/>
  <c r="H210" i="17"/>
  <c r="H89" i="17"/>
  <c r="H124" i="17"/>
  <c r="H140" i="17"/>
  <c r="H156" i="17"/>
  <c r="H172" i="17"/>
  <c r="H322" i="17"/>
  <c r="H578" i="17"/>
  <c r="H667" i="17"/>
  <c r="H688" i="17"/>
  <c r="H843" i="17"/>
  <c r="H744" i="17"/>
  <c r="H844" i="17"/>
  <c r="H852" i="17"/>
  <c r="H860" i="17"/>
  <c r="H829" i="17"/>
  <c r="H80" i="17"/>
  <c r="H64" i="17"/>
  <c r="H461" i="17"/>
  <c r="H445" i="17"/>
  <c r="H429" i="17"/>
  <c r="H591" i="17"/>
  <c r="H438" i="17"/>
  <c r="H476" i="17"/>
  <c r="H400" i="17"/>
  <c r="H384" i="17"/>
  <c r="H368" i="17"/>
  <c r="H417" i="17"/>
  <c r="H478" i="17"/>
  <c r="H436" i="17"/>
  <c r="H391" i="17"/>
  <c r="H362" i="17"/>
  <c r="H306" i="17"/>
  <c r="H334" i="17"/>
  <c r="H253" i="17"/>
  <c r="H259" i="17"/>
  <c r="H236" i="17"/>
  <c r="H261" i="17"/>
  <c r="H238" i="17"/>
  <c r="H251" i="17"/>
  <c r="H228" i="17"/>
  <c r="H85" i="17"/>
  <c r="H77" i="17"/>
  <c r="H69" i="17"/>
  <c r="H61" i="17"/>
  <c r="H126" i="17"/>
  <c r="H142" i="17"/>
  <c r="H158" i="17"/>
  <c r="H174" i="17"/>
  <c r="H330" i="17"/>
  <c r="H516" i="17"/>
  <c r="H532" i="17"/>
  <c r="H548" i="17"/>
  <c r="H564" i="17"/>
  <c r="H580" i="17"/>
  <c r="H700" i="17"/>
  <c r="H746" i="17"/>
  <c r="H836" i="17"/>
  <c r="H807" i="17"/>
  <c r="H819" i="17"/>
  <c r="H78" i="17"/>
  <c r="H62" i="17"/>
  <c r="K75" i="46" l="1"/>
  <c r="E69" i="46"/>
  <c r="F75" i="46" s="1"/>
  <c r="K78" i="46"/>
  <c r="K76" i="46"/>
  <c r="K79" i="46"/>
  <c r="K80" i="46"/>
  <c r="K77" i="46"/>
  <c r="H127" i="46"/>
  <c r="K149" i="46"/>
  <c r="K146" i="46"/>
  <c r="K147" i="46"/>
  <c r="K148" i="46"/>
  <c r="K144" i="46"/>
  <c r="K145" i="46"/>
  <c r="F91" i="46"/>
  <c r="F90" i="46"/>
  <c r="F88" i="46"/>
  <c r="G87" i="46" s="1"/>
  <c r="F92" i="46"/>
  <c r="F89" i="46"/>
  <c r="E127" i="46"/>
  <c r="F133" i="46" s="1"/>
  <c r="K135" i="46"/>
  <c r="K138" i="46"/>
  <c r="K137" i="46"/>
  <c r="K134" i="46"/>
  <c r="K136" i="46"/>
  <c r="K133" i="46"/>
  <c r="K150" i="46" l="1"/>
  <c r="L75" i="46"/>
  <c r="L89" i="46"/>
  <c r="G89" i="46"/>
  <c r="H89" i="46" s="1"/>
  <c r="N89" i="46" s="1"/>
  <c r="O89" i="46" s="1"/>
  <c r="L90" i="46"/>
  <c r="G90" i="46"/>
  <c r="H90" i="46" s="1"/>
  <c r="N90" i="46" s="1"/>
  <c r="O90" i="46" s="1"/>
  <c r="F145" i="46"/>
  <c r="L145" i="46" s="1"/>
  <c r="F149" i="46"/>
  <c r="G149" i="46" s="1"/>
  <c r="H149" i="46" s="1"/>
  <c r="N149" i="46" s="1"/>
  <c r="O149" i="46" s="1"/>
  <c r="F146" i="46"/>
  <c r="L146" i="46" s="1"/>
  <c r="F148" i="46"/>
  <c r="F144" i="46"/>
  <c r="L144" i="46" s="1"/>
  <c r="F147" i="46"/>
  <c r="L147" i="46" s="1"/>
  <c r="L87" i="46"/>
  <c r="H87" i="46"/>
  <c r="N87" i="46" s="1"/>
  <c r="O87" i="46" s="1"/>
  <c r="L91" i="46"/>
  <c r="G91" i="46"/>
  <c r="H91" i="46" s="1"/>
  <c r="N91" i="46" s="1"/>
  <c r="O91" i="46" s="1"/>
  <c r="L92" i="46"/>
  <c r="G92" i="46"/>
  <c r="H92" i="46" s="1"/>
  <c r="N92" i="46" s="1"/>
  <c r="O92" i="46" s="1"/>
  <c r="F138" i="46"/>
  <c r="G138" i="46" s="1"/>
  <c r="H138" i="46" s="1"/>
  <c r="N138" i="46" s="1"/>
  <c r="O138" i="46" s="1"/>
  <c r="F134" i="46"/>
  <c r="L134" i="46" s="1"/>
  <c r="F137" i="46"/>
  <c r="F136" i="46"/>
  <c r="F135" i="46"/>
  <c r="L135" i="46" s="1"/>
  <c r="G88" i="46"/>
  <c r="H88" i="46" s="1"/>
  <c r="N88" i="46" s="1"/>
  <c r="O88" i="46" s="1"/>
  <c r="L88" i="46"/>
  <c r="F80" i="46"/>
  <c r="G80" i="46" s="1"/>
  <c r="F76" i="46"/>
  <c r="G75" i="46" s="1"/>
  <c r="F77" i="46"/>
  <c r="L77" i="46" s="1"/>
  <c r="F79" i="46"/>
  <c r="L79" i="46" s="1"/>
  <c r="F78" i="46"/>
  <c r="L78" i="46" s="1"/>
  <c r="G133" i="46" l="1"/>
  <c r="H133" i="46" s="1"/>
  <c r="N133" i="46" s="1"/>
  <c r="O133" i="46" s="1"/>
  <c r="H75" i="46"/>
  <c r="N75" i="46" s="1"/>
  <c r="O75" i="46" s="1"/>
  <c r="L133" i="46"/>
  <c r="L149" i="46"/>
  <c r="H80" i="46"/>
  <c r="N80" i="46" s="1"/>
  <c r="O80" i="46" s="1"/>
  <c r="O93" i="46"/>
  <c r="G136" i="46"/>
  <c r="H136" i="46" s="1"/>
  <c r="N136" i="46" s="1"/>
  <c r="O136" i="46" s="1"/>
  <c r="G78" i="46"/>
  <c r="H78" i="46" s="1"/>
  <c r="G145" i="46"/>
  <c r="H145" i="46" s="1"/>
  <c r="N145" i="46" s="1"/>
  <c r="O145" i="46" s="1"/>
  <c r="G147" i="46"/>
  <c r="H147" i="46" s="1"/>
  <c r="N147" i="46" s="1"/>
  <c r="O147" i="46" s="1"/>
  <c r="G144" i="46"/>
  <c r="H144" i="46" s="1"/>
  <c r="N144" i="46" s="1"/>
  <c r="O144" i="46" s="1"/>
  <c r="G76" i="46"/>
  <c r="H76" i="46" s="1"/>
  <c r="N76" i="46" s="1"/>
  <c r="O76" i="46" s="1"/>
  <c r="G135" i="46"/>
  <c r="H135" i="46" s="1"/>
  <c r="N135" i="46" s="1"/>
  <c r="O135" i="46" s="1"/>
  <c r="G134" i="46"/>
  <c r="H134" i="46" s="1"/>
  <c r="N134" i="46" s="1"/>
  <c r="O134" i="46" s="1"/>
  <c r="G146" i="46"/>
  <c r="H146" i="46" s="1"/>
  <c r="N146" i="46" s="1"/>
  <c r="O146" i="46" s="1"/>
  <c r="L93" i="46"/>
  <c r="G79" i="46"/>
  <c r="H79" i="46" s="1"/>
  <c r="N79" i="46" s="1"/>
  <c r="O79" i="46" s="1"/>
  <c r="G137" i="46"/>
  <c r="H137" i="46" s="1"/>
  <c r="N137" i="46" s="1"/>
  <c r="O137" i="46" s="1"/>
  <c r="L136" i="46"/>
  <c r="L138" i="46"/>
  <c r="G77" i="46"/>
  <c r="H77" i="46" s="1"/>
  <c r="N77" i="46" s="1"/>
  <c r="O77" i="46" s="1"/>
  <c r="L80" i="46"/>
  <c r="L76" i="46"/>
  <c r="L148" i="46"/>
  <c r="G148" i="46"/>
  <c r="H148" i="46" s="1"/>
  <c r="N148" i="46" s="1"/>
  <c r="O148" i="46" s="1"/>
  <c r="L137" i="46"/>
  <c r="P87" i="46" l="1"/>
  <c r="G213" i="46" s="1"/>
  <c r="L150" i="46"/>
  <c r="L81" i="46"/>
  <c r="N78" i="46"/>
  <c r="O78" i="46" s="1"/>
  <c r="O81" i="46" s="1"/>
  <c r="O150" i="46"/>
  <c r="L139" i="46"/>
  <c r="O139" i="46"/>
  <c r="P75" i="46" l="1"/>
  <c r="F213" i="46" s="1"/>
  <c r="P133" i="46"/>
  <c r="F214" i="46" s="1"/>
  <c r="F223" i="46" s="1"/>
  <c r="K238" i="46" s="1"/>
  <c r="M238" i="46" s="1"/>
  <c r="L261" i="46" s="1"/>
  <c r="P144" i="46"/>
  <c r="G214" i="46" s="1"/>
  <c r="G223" i="46" s="1"/>
  <c r="O238" i="46" s="1"/>
  <c r="Q238" i="46" s="1"/>
  <c r="M261" i="46" s="1"/>
  <c r="G219" i="46"/>
  <c r="O237" i="46" s="1"/>
  <c r="Q237" i="46" s="1"/>
  <c r="G218" i="46"/>
  <c r="O236" i="46" s="1"/>
  <c r="Q236" i="46" s="1"/>
  <c r="F263" i="46" s="1"/>
  <c r="G227" i="46"/>
  <c r="O239" i="46" s="1"/>
  <c r="Q239" i="46" s="1"/>
  <c r="G272" i="46" s="1"/>
  <c r="G274" i="46" s="1"/>
  <c r="H402" i="46" l="1"/>
  <c r="G284" i="46"/>
  <c r="G303" i="46"/>
  <c r="O311" i="46" s="1"/>
  <c r="G354" i="46"/>
  <c r="O364" i="46" s="1"/>
  <c r="F219" i="46"/>
  <c r="K237" i="46" s="1"/>
  <c r="M237" i="46" s="1"/>
  <c r="F227" i="46"/>
  <c r="K239" i="46" s="1"/>
  <c r="M239" i="46" s="1"/>
  <c r="E284" i="46"/>
  <c r="E303" i="46"/>
  <c r="I310" i="46" s="1"/>
  <c r="E354" i="46"/>
  <c r="F218" i="46"/>
  <c r="K236" i="46" s="1"/>
  <c r="M236" i="46" s="1"/>
  <c r="E263" i="46" s="1"/>
  <c r="G283" i="46"/>
  <c r="G301" i="46"/>
  <c r="G302" i="46" s="1"/>
  <c r="G300" i="46"/>
  <c r="G351" i="46"/>
  <c r="G352" i="46"/>
  <c r="G353" i="46" s="1"/>
  <c r="H412" i="46" l="1"/>
  <c r="F402" i="46"/>
  <c r="G285" i="46"/>
  <c r="E283" i="46"/>
  <c r="E285" i="46" s="1"/>
  <c r="O366" i="46"/>
  <c r="O363" i="46"/>
  <c r="P363" i="46" s="1"/>
  <c r="I364" i="46"/>
  <c r="I367" i="46"/>
  <c r="J367" i="46" s="1"/>
  <c r="I363" i="46"/>
  <c r="I362" i="46"/>
  <c r="I366" i="46"/>
  <c r="I365" i="46"/>
  <c r="I361" i="46"/>
  <c r="E272" i="46"/>
  <c r="E274" i="46" s="1"/>
  <c r="E286" i="46" s="1"/>
  <c r="E301" i="46"/>
  <c r="E302" i="46" s="1"/>
  <c r="O313" i="46"/>
  <c r="O316" i="46"/>
  <c r="O312" i="46"/>
  <c r="P311" i="46" s="1"/>
  <c r="O310" i="46"/>
  <c r="O362" i="46"/>
  <c r="O315" i="46"/>
  <c r="O367" i="46"/>
  <c r="O314" i="46"/>
  <c r="O365" i="46"/>
  <c r="O361" i="46"/>
  <c r="I314" i="46"/>
  <c r="E300" i="46"/>
  <c r="E352" i="46"/>
  <c r="E353" i="46" s="1"/>
  <c r="I316" i="46"/>
  <c r="I313" i="46"/>
  <c r="I312" i="46"/>
  <c r="I311" i="46"/>
  <c r="I315" i="46"/>
  <c r="M367" i="46"/>
  <c r="N367" i="46" s="1"/>
  <c r="M316" i="46"/>
  <c r="N316" i="46" s="1"/>
  <c r="E351" i="46"/>
  <c r="M312" i="46"/>
  <c r="M313" i="46"/>
  <c r="M310" i="46"/>
  <c r="M311" i="46"/>
  <c r="M314" i="46"/>
  <c r="M315" i="46"/>
  <c r="H406" i="46"/>
  <c r="M362" i="46"/>
  <c r="M365" i="46"/>
  <c r="M364" i="46"/>
  <c r="M363" i="46"/>
  <c r="M361" i="46"/>
  <c r="M366" i="46"/>
  <c r="F406" i="46" l="1"/>
  <c r="F412" i="46"/>
  <c r="P362" i="46"/>
  <c r="G286" i="46"/>
  <c r="M281" i="46" s="1"/>
  <c r="G287" i="46"/>
  <c r="G312" i="46"/>
  <c r="N315" i="46"/>
  <c r="F375" i="46"/>
  <c r="F388" i="46" s="1"/>
  <c r="J376" i="46"/>
  <c r="J389" i="46" s="1"/>
  <c r="N364" i="46"/>
  <c r="J361" i="46"/>
  <c r="J362" i="46"/>
  <c r="J365" i="46"/>
  <c r="P314" i="46"/>
  <c r="J363" i="46"/>
  <c r="N362" i="46"/>
  <c r="J366" i="46"/>
  <c r="F380" i="46"/>
  <c r="F393" i="46" s="1"/>
  <c r="J312" i="46"/>
  <c r="P361" i="46"/>
  <c r="P313" i="46"/>
  <c r="N366" i="46"/>
  <c r="N361" i="46"/>
  <c r="J377" i="46"/>
  <c r="J390" i="46" s="1"/>
  <c r="P365" i="46"/>
  <c r="J380" i="46"/>
  <c r="J393" i="46" s="1"/>
  <c r="P367" i="46"/>
  <c r="Q363" i="46"/>
  <c r="N363" i="46"/>
  <c r="J364" i="46"/>
  <c r="N365" i="46"/>
  <c r="J315" i="46"/>
  <c r="P364" i="46"/>
  <c r="P366" i="46"/>
  <c r="J313" i="46"/>
  <c r="N310" i="46"/>
  <c r="J329" i="46"/>
  <c r="J342" i="46" s="1"/>
  <c r="P316" i="46"/>
  <c r="P315" i="46"/>
  <c r="Q313" i="46"/>
  <c r="N313" i="46"/>
  <c r="F329" i="46"/>
  <c r="F342" i="46" s="1"/>
  <c r="J316" i="46"/>
  <c r="N312" i="46"/>
  <c r="F323" i="46"/>
  <c r="F336" i="46" s="1"/>
  <c r="J311" i="46"/>
  <c r="N314" i="46"/>
  <c r="J323" i="46"/>
  <c r="J336" i="46" s="1"/>
  <c r="P310" i="46"/>
  <c r="Q311" i="46"/>
  <c r="N311" i="46"/>
  <c r="J314" i="46"/>
  <c r="J324" i="46"/>
  <c r="J337" i="46" s="1"/>
  <c r="P312" i="46"/>
  <c r="J310" i="46"/>
  <c r="J328" i="46"/>
  <c r="J341" i="46" s="1"/>
  <c r="Q316" i="46"/>
  <c r="J326" i="46"/>
  <c r="J339" i="46" s="1"/>
  <c r="J325" i="46"/>
  <c r="J338" i="46" s="1"/>
  <c r="Q310" i="46"/>
  <c r="J327" i="46"/>
  <c r="J340" i="46" s="1"/>
  <c r="Q365" i="46"/>
  <c r="Q312" i="46"/>
  <c r="J379" i="46"/>
  <c r="J392" i="46" s="1"/>
  <c r="Q314" i="46"/>
  <c r="F377" i="46"/>
  <c r="F390" i="46" s="1"/>
  <c r="J374" i="46"/>
  <c r="J387" i="46" s="1"/>
  <c r="J375" i="46"/>
  <c r="J388" i="46" s="1"/>
  <c r="Q362" i="46"/>
  <c r="J378" i="46"/>
  <c r="J391" i="46" s="1"/>
  <c r="F326" i="46"/>
  <c r="F339" i="46" s="1"/>
  <c r="Q315" i="46"/>
  <c r="Q367" i="46"/>
  <c r="F327" i="46"/>
  <c r="F340" i="46" s="1"/>
  <c r="G363" i="46"/>
  <c r="F374" i="46"/>
  <c r="F387" i="46" s="1"/>
  <c r="F379" i="46"/>
  <c r="F392" i="46" s="1"/>
  <c r="I380" i="46"/>
  <c r="I393" i="46" s="1"/>
  <c r="F376" i="46"/>
  <c r="F389" i="46" s="1"/>
  <c r="F378" i="46"/>
  <c r="F391" i="46" s="1"/>
  <c r="F325" i="46"/>
  <c r="F338" i="46" s="1"/>
  <c r="F328" i="46"/>
  <c r="F341" i="46" s="1"/>
  <c r="F324" i="46"/>
  <c r="F337" i="46" s="1"/>
  <c r="G362" i="46"/>
  <c r="G365" i="46"/>
  <c r="I329" i="46"/>
  <c r="I342" i="46" s="1"/>
  <c r="G367" i="46"/>
  <c r="G361" i="46"/>
  <c r="G364" i="46"/>
  <c r="G366" i="46"/>
  <c r="H414" i="46"/>
  <c r="I375" i="46"/>
  <c r="I388" i="46" s="1"/>
  <c r="I324" i="46"/>
  <c r="I337" i="46" s="1"/>
  <c r="I378" i="46"/>
  <c r="I391" i="46" s="1"/>
  <c r="I374" i="46"/>
  <c r="I376" i="46"/>
  <c r="I389" i="46" s="1"/>
  <c r="I323" i="46"/>
  <c r="I336" i="46" s="1"/>
  <c r="I377" i="46"/>
  <c r="I328" i="46"/>
  <c r="I341" i="46" s="1"/>
  <c r="Q364" i="46"/>
  <c r="I325" i="46"/>
  <c r="I338" i="46" s="1"/>
  <c r="I327" i="46"/>
  <c r="I340" i="46" s="1"/>
  <c r="I326" i="46"/>
  <c r="I339" i="46" s="1"/>
  <c r="H408" i="46"/>
  <c r="Q361" i="46"/>
  <c r="I379" i="46"/>
  <c r="I392" i="46" s="1"/>
  <c r="Q366" i="46"/>
  <c r="G313" i="46" l="1"/>
  <c r="H312" i="46" s="1"/>
  <c r="G310" i="46"/>
  <c r="G311" i="46"/>
  <c r="K311" i="46" s="1"/>
  <c r="F408" i="46"/>
  <c r="G314" i="46"/>
  <c r="G315" i="46"/>
  <c r="K315" i="46" s="1"/>
  <c r="G316" i="46"/>
  <c r="H316" i="46" s="1"/>
  <c r="K389" i="46"/>
  <c r="K377" i="46"/>
  <c r="H361" i="46"/>
  <c r="E380" i="46"/>
  <c r="E393" i="46" s="1"/>
  <c r="G393" i="46" s="1"/>
  <c r="H367" i="46"/>
  <c r="K393" i="46"/>
  <c r="K363" i="46"/>
  <c r="H363" i="46"/>
  <c r="K365" i="46"/>
  <c r="H365" i="46"/>
  <c r="K362" i="46"/>
  <c r="H362" i="46"/>
  <c r="K366" i="46"/>
  <c r="H366" i="46"/>
  <c r="H364" i="46"/>
  <c r="K337" i="46"/>
  <c r="K342" i="46"/>
  <c r="K312" i="46"/>
  <c r="K336" i="46"/>
  <c r="K391" i="46"/>
  <c r="K388" i="46"/>
  <c r="K392" i="46"/>
  <c r="K374" i="46"/>
  <c r="E287" i="46"/>
  <c r="E376" i="46"/>
  <c r="G376" i="46" s="1"/>
  <c r="F414" i="46"/>
  <c r="K361" i="46"/>
  <c r="E374" i="46"/>
  <c r="K380" i="46"/>
  <c r="K329" i="46"/>
  <c r="K367" i="46"/>
  <c r="E375" i="46"/>
  <c r="E388" i="46" s="1"/>
  <c r="G388" i="46" s="1"/>
  <c r="K378" i="46"/>
  <c r="K364" i="46"/>
  <c r="E377" i="46"/>
  <c r="G377" i="46" s="1"/>
  <c r="E379" i="46"/>
  <c r="G379" i="46" s="1"/>
  <c r="E378" i="46"/>
  <c r="G378" i="46" s="1"/>
  <c r="I387" i="46"/>
  <c r="K387" i="46" s="1"/>
  <c r="K375" i="46"/>
  <c r="K324" i="46"/>
  <c r="I390" i="46"/>
  <c r="K390" i="46" s="1"/>
  <c r="K323" i="46"/>
  <c r="K376" i="46"/>
  <c r="K325" i="46"/>
  <c r="K340" i="46"/>
  <c r="K339" i="46"/>
  <c r="K341" i="46"/>
  <c r="K326" i="46"/>
  <c r="K328" i="46"/>
  <c r="K338" i="46"/>
  <c r="K327" i="46"/>
  <c r="K379" i="46"/>
  <c r="E324" i="46" l="1"/>
  <c r="E337" i="46" s="1"/>
  <c r="G337" i="46" s="1"/>
  <c r="H311" i="46"/>
  <c r="K313" i="46"/>
  <c r="E325" i="46"/>
  <c r="E338" i="46" s="1"/>
  <c r="G338" i="46" s="1"/>
  <c r="E460" i="46" s="1"/>
  <c r="H460" i="46" s="1"/>
  <c r="H473" i="46" s="1"/>
  <c r="K473" i="46" s="1"/>
  <c r="E328" i="46"/>
  <c r="E341" i="46" s="1"/>
  <c r="G341" i="46" s="1"/>
  <c r="K316" i="46"/>
  <c r="E323" i="46"/>
  <c r="E336" i="46" s="1"/>
  <c r="G336" i="46" s="1"/>
  <c r="E458" i="46" s="1"/>
  <c r="H458" i="46" s="1"/>
  <c r="H471" i="46" s="1"/>
  <c r="K471" i="46" s="1"/>
  <c r="H310" i="46"/>
  <c r="K310" i="46"/>
  <c r="H313" i="46"/>
  <c r="H315" i="46"/>
  <c r="E329" i="46"/>
  <c r="G329" i="46" s="1"/>
  <c r="H314" i="46"/>
  <c r="K314" i="46"/>
  <c r="E327" i="46"/>
  <c r="E340" i="46" s="1"/>
  <c r="G340" i="46" s="1"/>
  <c r="E326" i="46"/>
  <c r="E339" i="46" s="1"/>
  <c r="G339" i="46" s="1"/>
  <c r="F502" i="46"/>
  <c r="I502" i="46" s="1"/>
  <c r="I515" i="46" s="1"/>
  <c r="L515" i="46" s="1"/>
  <c r="O531" i="46" s="1"/>
  <c r="F491" i="46"/>
  <c r="I491" i="46" s="1"/>
  <c r="I532" i="46" s="1"/>
  <c r="O377" i="46"/>
  <c r="G380" i="46"/>
  <c r="F463" i="46"/>
  <c r="I463" i="46" s="1"/>
  <c r="I476" i="46" s="1"/>
  <c r="L476" i="46" s="1"/>
  <c r="G426" i="46"/>
  <c r="F459" i="46"/>
  <c r="I459" i="46" s="1"/>
  <c r="I472" i="46" s="1"/>
  <c r="L472" i="46" s="1"/>
  <c r="F461" i="46"/>
  <c r="I461" i="46" s="1"/>
  <c r="I474" i="46" s="1"/>
  <c r="L474" i="46" s="1"/>
  <c r="F451" i="46"/>
  <c r="I451" i="46" s="1"/>
  <c r="O374" i="46"/>
  <c r="F462" i="46"/>
  <c r="I462" i="46" s="1"/>
  <c r="I475" i="46" s="1"/>
  <c r="L475" i="46" s="1"/>
  <c r="G425" i="46"/>
  <c r="F494" i="46"/>
  <c r="I494" i="46" s="1"/>
  <c r="I535" i="46" s="1"/>
  <c r="F505" i="46"/>
  <c r="I505" i="46" s="1"/>
  <c r="I518" i="46" s="1"/>
  <c r="L518" i="46" s="1"/>
  <c r="O534" i="46" s="1"/>
  <c r="E506" i="46"/>
  <c r="H506" i="46" s="1"/>
  <c r="F506" i="46"/>
  <c r="I506" i="46" s="1"/>
  <c r="I519" i="46" s="1"/>
  <c r="L519" i="46" s="1"/>
  <c r="O535" i="46" s="1"/>
  <c r="O379" i="46"/>
  <c r="F449" i="46"/>
  <c r="I449" i="46" s="1"/>
  <c r="F489" i="46"/>
  <c r="I489" i="46" s="1"/>
  <c r="I530" i="46" s="1"/>
  <c r="F501" i="46"/>
  <c r="I501" i="46" s="1"/>
  <c r="I514" i="46" s="1"/>
  <c r="L514" i="46" s="1"/>
  <c r="O530" i="46" s="1"/>
  <c r="E490" i="46"/>
  <c r="H490" i="46" s="1"/>
  <c r="H531" i="46" s="1"/>
  <c r="E492" i="46"/>
  <c r="H492" i="46" s="1"/>
  <c r="H533" i="46" s="1"/>
  <c r="G424" i="46"/>
  <c r="F490" i="46"/>
  <c r="I490" i="46" s="1"/>
  <c r="I531" i="46" s="1"/>
  <c r="F460" i="46"/>
  <c r="I460" i="46" s="1"/>
  <c r="I473" i="46" s="1"/>
  <c r="L473" i="46" s="1"/>
  <c r="G423" i="46"/>
  <c r="F500" i="46"/>
  <c r="I500" i="46" s="1"/>
  <c r="I513" i="46" s="1"/>
  <c r="L513" i="46" s="1"/>
  <c r="O529" i="46" s="1"/>
  <c r="O378" i="46"/>
  <c r="F504" i="46"/>
  <c r="I504" i="46" s="1"/>
  <c r="L533" i="46" s="1"/>
  <c r="G428" i="46"/>
  <c r="F503" i="46"/>
  <c r="I503" i="46" s="1"/>
  <c r="I516" i="46" s="1"/>
  <c r="L516" i="46" s="1"/>
  <c r="O532" i="46" s="1"/>
  <c r="E501" i="46"/>
  <c r="H501" i="46" s="1"/>
  <c r="H514" i="46" s="1"/>
  <c r="K514" i="46" s="1"/>
  <c r="N530" i="46" s="1"/>
  <c r="F458" i="46"/>
  <c r="I458" i="46" s="1"/>
  <c r="I471" i="46" s="1"/>
  <c r="L471" i="46" s="1"/>
  <c r="F464" i="46"/>
  <c r="I464" i="46" s="1"/>
  <c r="I477" i="46" s="1"/>
  <c r="L477" i="46" s="1"/>
  <c r="G374" i="46"/>
  <c r="E488" i="46" s="1"/>
  <c r="H488" i="46" s="1"/>
  <c r="H529" i="46" s="1"/>
  <c r="E387" i="46"/>
  <c r="G387" i="46" s="1"/>
  <c r="E389" i="46"/>
  <c r="G389" i="46" s="1"/>
  <c r="F488" i="46"/>
  <c r="I488" i="46" s="1"/>
  <c r="I529" i="46" s="1"/>
  <c r="E392" i="46"/>
  <c r="G392" i="46" s="1"/>
  <c r="N378" i="46"/>
  <c r="G375" i="46"/>
  <c r="E391" i="46"/>
  <c r="G391" i="46" s="1"/>
  <c r="N376" i="46"/>
  <c r="F492" i="46"/>
  <c r="I492" i="46" s="1"/>
  <c r="I533" i="46" s="1"/>
  <c r="E390" i="46"/>
  <c r="G390" i="46" s="1"/>
  <c r="O375" i="46"/>
  <c r="F446" i="46"/>
  <c r="I446" i="46" s="1"/>
  <c r="F450" i="46"/>
  <c r="I450" i="46" s="1"/>
  <c r="F445" i="46"/>
  <c r="I445" i="46" s="1"/>
  <c r="F447" i="46"/>
  <c r="I447" i="46" s="1"/>
  <c r="O376" i="46"/>
  <c r="G427" i="46"/>
  <c r="F448" i="46"/>
  <c r="I448" i="46" s="1"/>
  <c r="F493" i="46"/>
  <c r="I493" i="46" s="1"/>
  <c r="I534" i="46" s="1"/>
  <c r="N377" i="46"/>
  <c r="E491" i="46"/>
  <c r="H491" i="46" s="1"/>
  <c r="H532" i="46" s="1"/>
  <c r="N379" i="46"/>
  <c r="E493" i="46"/>
  <c r="H493" i="46" s="1"/>
  <c r="H534" i="46" s="1"/>
  <c r="G328" i="46" l="1"/>
  <c r="E459" i="46"/>
  <c r="H459" i="46" s="1"/>
  <c r="H472" i="46" s="1"/>
  <c r="K472" i="46" s="1"/>
  <c r="G324" i="46"/>
  <c r="E446" i="46" s="1"/>
  <c r="H446" i="46" s="1"/>
  <c r="G325" i="46"/>
  <c r="E425" i="46" s="1"/>
  <c r="G323" i="46"/>
  <c r="E445" i="46" s="1"/>
  <c r="H445" i="46" s="1"/>
  <c r="G327" i="46"/>
  <c r="E462" i="46"/>
  <c r="H462" i="46" s="1"/>
  <c r="H475" i="46" s="1"/>
  <c r="K475" i="46" s="1"/>
  <c r="E342" i="46"/>
  <c r="G342" i="46" s="1"/>
  <c r="E464" i="46" s="1"/>
  <c r="H464" i="46" s="1"/>
  <c r="H477" i="46" s="1"/>
  <c r="K477" i="46" s="1"/>
  <c r="G326" i="46"/>
  <c r="E451" i="46"/>
  <c r="H451" i="46" s="1"/>
  <c r="L531" i="46"/>
  <c r="E494" i="46"/>
  <c r="H494" i="46" s="1"/>
  <c r="H535" i="46" s="1"/>
  <c r="K530" i="46"/>
  <c r="L534" i="46"/>
  <c r="L529" i="46"/>
  <c r="L535" i="46"/>
  <c r="E461" i="46"/>
  <c r="H461" i="46" s="1"/>
  <c r="H474" i="46" s="1"/>
  <c r="K474" i="46" s="1"/>
  <c r="L530" i="46"/>
  <c r="G430" i="46"/>
  <c r="E463" i="46"/>
  <c r="H463" i="46" s="1"/>
  <c r="H476" i="46" s="1"/>
  <c r="K476" i="46" s="1"/>
  <c r="N375" i="46"/>
  <c r="I517" i="46"/>
  <c r="L517" i="46" s="1"/>
  <c r="O533" i="46" s="1"/>
  <c r="H519" i="46"/>
  <c r="K519" i="46" s="1"/>
  <c r="N535" i="46" s="1"/>
  <c r="K535" i="46"/>
  <c r="E500" i="46"/>
  <c r="H500" i="46" s="1"/>
  <c r="H513" i="46" s="1"/>
  <c r="K513" i="46" s="1"/>
  <c r="N529" i="46" s="1"/>
  <c r="L532" i="46"/>
  <c r="E503" i="46"/>
  <c r="H503" i="46" s="1"/>
  <c r="K532" i="46" s="1"/>
  <c r="E505" i="46"/>
  <c r="H505" i="46" s="1"/>
  <c r="K534" i="46" s="1"/>
  <c r="N374" i="46"/>
  <c r="E502" i="46"/>
  <c r="H502" i="46" s="1"/>
  <c r="H515" i="46" s="1"/>
  <c r="K515" i="46" s="1"/>
  <c r="N531" i="46" s="1"/>
  <c r="E504" i="46"/>
  <c r="H504" i="46" s="1"/>
  <c r="H517" i="46" s="1"/>
  <c r="K517" i="46" s="1"/>
  <c r="N533" i="46" s="1"/>
  <c r="E424" i="46"/>
  <c r="E489" i="46"/>
  <c r="H489" i="46" s="1"/>
  <c r="H530" i="46" s="1"/>
  <c r="E428" i="46" l="1"/>
  <c r="E450" i="46"/>
  <c r="H450" i="46" s="1"/>
  <c r="E427" i="46"/>
  <c r="E447" i="46"/>
  <c r="H447" i="46" s="1"/>
  <c r="E449" i="46"/>
  <c r="H449" i="46" s="1"/>
  <c r="E423" i="46"/>
  <c r="E426" i="46"/>
  <c r="E448" i="46"/>
  <c r="H448" i="46" s="1"/>
  <c r="K529" i="46"/>
  <c r="H516" i="46"/>
  <c r="K516" i="46" s="1"/>
  <c r="N532" i="46" s="1"/>
  <c r="K533" i="46"/>
  <c r="H518" i="46"/>
  <c r="K518" i="46" s="1"/>
  <c r="N534" i="46" s="1"/>
  <c r="K531" i="46"/>
  <c r="E430" i="46" l="1"/>
  <c r="J423" i="46" s="1"/>
</calcChain>
</file>

<file path=xl/sharedStrings.xml><?xml version="1.0" encoding="utf-8"?>
<sst xmlns="http://schemas.openxmlformats.org/spreadsheetml/2006/main" count="1202" uniqueCount="529">
  <si>
    <t>T</t>
  </si>
  <si>
    <t>#</t>
  </si>
  <si>
    <t>V</t>
  </si>
  <si>
    <t>DATOS</t>
  </si>
  <si>
    <t>Ct</t>
  </si>
  <si>
    <t>α</t>
  </si>
  <si>
    <t>ft</t>
  </si>
  <si>
    <t>m</t>
  </si>
  <si>
    <t>h</t>
  </si>
  <si>
    <t>k</t>
  </si>
  <si>
    <t>Suma</t>
  </si>
  <si>
    <t>kips</t>
  </si>
  <si>
    <t>X</t>
  </si>
  <si>
    <t>Y</t>
  </si>
  <si>
    <t>Techo</t>
  </si>
  <si>
    <t>Piso 1</t>
  </si>
  <si>
    <t>Piso 2</t>
  </si>
  <si>
    <t>Piso 5</t>
  </si>
  <si>
    <t>Piso 4</t>
  </si>
  <si>
    <t>Piso 3</t>
  </si>
  <si>
    <t>fx</t>
  </si>
  <si>
    <t>SRSS</t>
  </si>
  <si>
    <t>Nivel</t>
  </si>
  <si>
    <t>Direccion en X</t>
  </si>
  <si>
    <t>Direccion en Y</t>
  </si>
  <si>
    <t>ETABS - ELASTICA</t>
  </si>
  <si>
    <t>%</t>
  </si>
  <si>
    <t>DERIVA INELASTICA</t>
  </si>
  <si>
    <t>Deriva en X [%]</t>
  </si>
  <si>
    <t>Deriva en Y [%]</t>
  </si>
  <si>
    <t>Base</t>
  </si>
  <si>
    <t>segundos</t>
  </si>
  <si>
    <t>dt :</t>
  </si>
  <si>
    <t>Intervalo de Tiempo para el espectro</t>
  </si>
  <si>
    <t>ESPECTRO TABULADO</t>
  </si>
  <si>
    <t>T &lt; To</t>
  </si>
  <si>
    <t>T &gt; Tc</t>
  </si>
  <si>
    <t>To &lt; T &lt; Tc</t>
  </si>
  <si>
    <t>To :</t>
  </si>
  <si>
    <r>
      <t>T</t>
    </r>
    <r>
      <rPr>
        <b/>
        <sz val="8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 :</t>
    </r>
  </si>
  <si>
    <t>Esp.Dinamico</t>
  </si>
  <si>
    <t>ESPECTRO DE ACELERACIONES</t>
  </si>
  <si>
    <t>Categoria</t>
  </si>
  <si>
    <t>Coef. I</t>
  </si>
  <si>
    <t>Coeficiente de Importancia</t>
  </si>
  <si>
    <t>Tipo de estructura</t>
  </si>
  <si>
    <t>Sin Arriostramiento</t>
  </si>
  <si>
    <t>Con Arriostramiento</t>
  </si>
  <si>
    <t>Estructuras de Acero</t>
  </si>
  <si>
    <t>Altura</t>
  </si>
  <si>
    <t>seg</t>
  </si>
  <si>
    <t>in</t>
  </si>
  <si>
    <t>g</t>
  </si>
  <si>
    <t>Masa</t>
  </si>
  <si>
    <t>" &gt; 2.5 "</t>
  </si>
  <si>
    <t>" 0.5 &lt; T ≤ 2.5 "</t>
  </si>
  <si>
    <t>I -  Factor de Importancia</t>
  </si>
  <si>
    <t>R -Factor de reduccion</t>
  </si>
  <si>
    <t>Ωo -Factor de sobresfuerzo</t>
  </si>
  <si>
    <t>Cd -F. Amplif. de defleccion</t>
  </si>
  <si>
    <t>Tipo: Edificaciones esenciales</t>
  </si>
  <si>
    <t>Tipo: Estruct. de ocupacion especial</t>
  </si>
  <si>
    <t>Tipo: Otras estructuras</t>
  </si>
  <si>
    <t>Φp - Irregularidades de planta</t>
  </si>
  <si>
    <t>Φe - irregularidades de elevacion</t>
  </si>
  <si>
    <t>Arriestramiento</t>
  </si>
  <si>
    <t>DATOS INICIALES</t>
  </si>
  <si>
    <t>[Kips]</t>
  </si>
  <si>
    <t>GRAFICA</t>
  </si>
  <si>
    <t>ALTURA</t>
  </si>
  <si>
    <t>DERIVAS</t>
  </si>
  <si>
    <t>Sds</t>
  </si>
  <si>
    <t>ESPECTRO DE DISEÑO - IBC 2012</t>
  </si>
  <si>
    <t>Coeficiente de mayoracion  del periodo calculado</t>
  </si>
  <si>
    <t>≥</t>
  </si>
  <si>
    <t>≤</t>
  </si>
  <si>
    <t>Cu</t>
  </si>
  <si>
    <t>Cs - Calculado</t>
  </si>
  <si>
    <t>Tabla 12.12.1 ASCE7</t>
  </si>
  <si>
    <t>Gravedad</t>
  </si>
  <si>
    <t>ft/s2</t>
  </si>
  <si>
    <t>a.</t>
  </si>
  <si>
    <t>b.</t>
  </si>
  <si>
    <t>ASCE 18.6-1</t>
  </si>
  <si>
    <t>V diseño con amortiguamiento</t>
  </si>
  <si>
    <t>ETABS</t>
  </si>
  <si>
    <t>CARGAS</t>
  </si>
  <si>
    <t>Muerta</t>
  </si>
  <si>
    <t>Viva</t>
  </si>
  <si>
    <t xml:space="preserve">h </t>
  </si>
  <si>
    <t>Etabs M.</t>
  </si>
  <si>
    <t>[kips s2/ft]</t>
  </si>
  <si>
    <t>Coeficiente de mayoracion Cu</t>
  </si>
  <si>
    <t>Ss</t>
  </si>
  <si>
    <t>Periodos</t>
  </si>
  <si>
    <t>Modo</t>
  </si>
  <si>
    <r>
      <t>Bv+</t>
    </r>
    <r>
      <rPr>
        <sz val="9"/>
        <color theme="1"/>
        <rFont val="Calibri"/>
        <family val="2"/>
        <scheme val="minor"/>
      </rPr>
      <t>1 - Coef. de Amortiguamiento [20%]</t>
    </r>
  </si>
  <si>
    <t>Ángulo</t>
  </si>
  <si>
    <t>C</t>
  </si>
  <si>
    <t>Ang. Deg</t>
  </si>
  <si>
    <t>Total</t>
  </si>
  <si>
    <t>TOTAL</t>
  </si>
  <si>
    <t>Ancho</t>
  </si>
  <si>
    <t>rad</t>
  </si>
  <si>
    <t>cos(ang)</t>
  </si>
  <si>
    <t>`</t>
  </si>
  <si>
    <t>[kip-s2/in]</t>
  </si>
  <si>
    <t># Pisos</t>
  </si>
  <si>
    <t>Angulo de Inclunacion del disipador</t>
  </si>
  <si>
    <t>T [seg]</t>
  </si>
  <si>
    <t>grados</t>
  </si>
  <si>
    <t>PERIODOS</t>
  </si>
  <si>
    <t>H [ft]</t>
  </si>
  <si>
    <t>rad/seg</t>
  </si>
  <si>
    <t>in/seg2</t>
  </si>
  <si>
    <t>C [k-s-in]</t>
  </si>
  <si>
    <r>
      <rPr>
        <b/>
        <sz val="11"/>
        <color theme="1"/>
        <rFont val="GreekC"/>
      </rPr>
      <t>D</t>
    </r>
    <r>
      <rPr>
        <b/>
        <sz val="11"/>
        <color theme="1"/>
        <rFont val="Calibri"/>
        <family val="2"/>
      </rPr>
      <t>i [in]</t>
    </r>
  </si>
  <si>
    <t>W [kips]</t>
  </si>
  <si>
    <t>Ts :</t>
  </si>
  <si>
    <t>ASCE Eq.18.6-11</t>
  </si>
  <si>
    <t>ASCE Eq.18.6-12</t>
  </si>
  <si>
    <r>
      <t>μ</t>
    </r>
    <r>
      <rPr>
        <sz val="8"/>
        <color theme="1"/>
        <rFont val="Calibri"/>
        <family val="2"/>
      </rPr>
      <t>D</t>
    </r>
  </si>
  <si>
    <r>
      <t>μ</t>
    </r>
    <r>
      <rPr>
        <sz val="8"/>
        <color theme="1"/>
        <rFont val="Calibri"/>
        <family val="2"/>
        <scheme val="minor"/>
      </rPr>
      <t>M</t>
    </r>
  </si>
  <si>
    <t>demanda efectiva de la ductivilidad debido a los movimientos del suelo del sismo maximo considerado</t>
  </si>
  <si>
    <t>Modo Residual</t>
  </si>
  <si>
    <t>A. inherente</t>
  </si>
  <si>
    <t>A. Suplementario</t>
  </si>
  <si>
    <r>
      <t xml:space="preserve">Effective Damping  </t>
    </r>
    <r>
      <rPr>
        <b/>
        <sz val="11"/>
        <color theme="1"/>
        <rFont val="Calibri"/>
        <family val="2"/>
      </rPr>
      <t>β % of Critical</t>
    </r>
  </si>
  <si>
    <t>% of Critical</t>
  </si>
  <si>
    <t>(for T&gt;To)</t>
  </si>
  <si>
    <t xml:space="preserve">Damping Coefficient B </t>
  </si>
  <si>
    <t xml:space="preserve">≤ </t>
  </si>
  <si>
    <t>Vmin :</t>
  </si>
  <si>
    <t>NIVEL</t>
  </si>
  <si>
    <r>
      <t>S</t>
    </r>
    <r>
      <rPr>
        <b/>
        <sz val="9"/>
        <color theme="1"/>
        <rFont val="Calibri"/>
        <family val="2"/>
        <scheme val="minor"/>
      </rPr>
      <t>1</t>
    </r>
  </si>
  <si>
    <r>
      <t>S</t>
    </r>
    <r>
      <rPr>
        <b/>
        <sz val="9"/>
        <color theme="1"/>
        <rFont val="Calibri"/>
        <family val="2"/>
        <scheme val="minor"/>
      </rPr>
      <t>M1</t>
    </r>
  </si>
  <si>
    <r>
      <t>S</t>
    </r>
    <r>
      <rPr>
        <b/>
        <sz val="9"/>
        <color theme="1"/>
        <rFont val="Calibri"/>
        <family val="2"/>
        <scheme val="minor"/>
      </rPr>
      <t>Ms</t>
    </r>
  </si>
  <si>
    <r>
      <t>S</t>
    </r>
    <r>
      <rPr>
        <b/>
        <sz val="9"/>
        <color theme="1"/>
        <rFont val="Calibri"/>
        <family val="2"/>
        <scheme val="minor"/>
      </rPr>
      <t>D1</t>
    </r>
  </si>
  <si>
    <r>
      <t>S</t>
    </r>
    <r>
      <rPr>
        <b/>
        <sz val="9"/>
        <color theme="1"/>
        <rFont val="Calibri"/>
        <family val="2"/>
        <scheme val="minor"/>
      </rPr>
      <t>DS</t>
    </r>
  </si>
  <si>
    <t>Desplazamiento Axial del amortiguador</t>
  </si>
  <si>
    <t>Deriva de  piso</t>
  </si>
  <si>
    <t>Velocidad Axial del amortiguador</t>
  </si>
  <si>
    <t>F</t>
  </si>
  <si>
    <t xml:space="preserve"> [kips -sec/in]]</t>
  </si>
  <si>
    <t>[in/sec]</t>
  </si>
  <si>
    <t>[kips]</t>
  </si>
  <si>
    <t xml:space="preserve">Cu -Coef. de mayoracion </t>
  </si>
  <si>
    <t>Piso 6</t>
  </si>
  <si>
    <t>ASCE7 Ec. 18.5-14</t>
  </si>
  <si>
    <t>ASCE7 Ec. 18.5-12</t>
  </si>
  <si>
    <t>ASCE7 Ec. 18.5-13</t>
  </si>
  <si>
    <t>s</t>
  </si>
  <si>
    <t>ASCE7 Ec. 18.4-12a</t>
  </si>
  <si>
    <t>ASCE7 Ec. 18.4-12b</t>
  </si>
  <si>
    <t>ASCE7 Ec. 18.4-13</t>
  </si>
  <si>
    <t>ASCE Ec. 18.4-6</t>
  </si>
  <si>
    <t>ASCE Ec. 18.4-7</t>
  </si>
  <si>
    <t>ASCE7 Ec. 18.6-1</t>
  </si>
  <si>
    <t>ASCE7 18.2.2.1</t>
  </si>
  <si>
    <t>Fa :</t>
  </si>
  <si>
    <t>Fv :</t>
  </si>
  <si>
    <t xml:space="preserve">Parámetros del Espectro de Aceleración </t>
  </si>
  <si>
    <t xml:space="preserve">Periodos  </t>
  </si>
  <si>
    <t>- ASCE7 11.4.5</t>
  </si>
  <si>
    <t>T    - aprox. Periodo</t>
  </si>
  <si>
    <t>α    - coeficiente</t>
  </si>
  <si>
    <r>
      <t>C</t>
    </r>
    <r>
      <rPr>
        <sz val="8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  - coeficiente</t>
    </r>
  </si>
  <si>
    <r>
      <t>h</t>
    </r>
    <r>
      <rPr>
        <sz val="8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  - Altura</t>
    </r>
  </si>
  <si>
    <r>
      <t>C</t>
    </r>
    <r>
      <rPr>
        <sz val="8"/>
        <color rgb="FF000000"/>
        <rFont val="Arial"/>
        <family val="2"/>
      </rPr>
      <t xml:space="preserve">u </t>
    </r>
    <r>
      <rPr>
        <sz val="10"/>
        <color rgb="FF000000"/>
        <rFont val="Arial"/>
        <family val="2"/>
      </rPr>
      <t xml:space="preserve"> - Coef. de mayoración </t>
    </r>
  </si>
  <si>
    <t>V - Para el Diseño con disipadores</t>
  </si>
  <si>
    <t xml:space="preserve">Cs - Límite máximo  </t>
  </si>
  <si>
    <t>Cs - Optado para el Diseño</t>
  </si>
  <si>
    <t>V - Cortante sísmica de la base</t>
  </si>
  <si>
    <t>V mínimo</t>
  </si>
  <si>
    <t>Cs - Límite mínimo</t>
  </si>
  <si>
    <t xml:space="preserve">Coeficiente k </t>
  </si>
  <si>
    <t>Distribución de Fuerzas Sísmicas Laterales</t>
  </si>
  <si>
    <t xml:space="preserve"> "≤ 0.5 "</t>
  </si>
  <si>
    <t># dispadores</t>
  </si>
  <si>
    <t>C - Horizontal</t>
  </si>
  <si>
    <t>Disipadores por piso</t>
  </si>
  <si>
    <t>C - Total Horizontal</t>
  </si>
  <si>
    <t>Propiedades del Modo fundamental</t>
  </si>
  <si>
    <t>Peso sísmico efectivo del  Modo Fundamental</t>
  </si>
  <si>
    <t>Forma del Modo Fundamental</t>
  </si>
  <si>
    <t>Forma del Modo Residual</t>
  </si>
  <si>
    <t xml:space="preserve"> Amortiguamiento efectivo del Modo Residual en la Direccion X</t>
  </si>
  <si>
    <t xml:space="preserve"> Amortiguamiento efectivo del Modo Residual en la Direccion Y</t>
  </si>
  <si>
    <t>Masa Modal Ortogonal</t>
  </si>
  <si>
    <t>Demanda máxima efectiva de ductilidad</t>
  </si>
  <si>
    <t>Modo Fundamental</t>
  </si>
  <si>
    <r>
      <t>μ</t>
    </r>
    <r>
      <rPr>
        <sz val="8"/>
        <color theme="1"/>
        <rFont val="Calibri"/>
        <family val="2"/>
      </rPr>
      <t>D1 :</t>
    </r>
  </si>
  <si>
    <r>
      <t>μ</t>
    </r>
    <r>
      <rPr>
        <sz val="8"/>
        <color theme="1"/>
        <rFont val="Calibri"/>
        <family val="2"/>
        <scheme val="minor"/>
      </rPr>
      <t>M1 :</t>
    </r>
  </si>
  <si>
    <r>
      <t xml:space="preserve">Amortiguamiento Efectivo  </t>
    </r>
    <r>
      <rPr>
        <b/>
        <sz val="11"/>
        <color theme="1"/>
        <rFont val="Calibri"/>
        <family val="2"/>
      </rPr>
      <t>β</t>
    </r>
  </si>
  <si>
    <t>(Porcentaje del Critico)</t>
  </si>
  <si>
    <t>(Para  T&gt;To)</t>
  </si>
  <si>
    <t xml:space="preserve">Coeficiente de Amortiguamiento B </t>
  </si>
  <si>
    <t>ASCE 7 (Tabla 18.6-1)</t>
  </si>
  <si>
    <t>Vmin (a) :</t>
  </si>
  <si>
    <t>Vmin (b) :</t>
  </si>
  <si>
    <t>Cortante de Base Mínima</t>
  </si>
  <si>
    <t>V:</t>
  </si>
  <si>
    <t xml:space="preserve">Cortante Sismica de Base </t>
  </si>
  <si>
    <t>Desplazamientos de Techo</t>
  </si>
  <si>
    <t xml:space="preserve">Demanda de la ductilidad efectiva </t>
  </si>
  <si>
    <t>Velocidad axial de los amortiguadores</t>
  </si>
  <si>
    <t>Velocidad de  piso</t>
  </si>
  <si>
    <t>Fuerza del Disipador</t>
  </si>
  <si>
    <t>Periodo fundamental aproximado</t>
  </si>
  <si>
    <t>(38)</t>
  </si>
  <si>
    <t>(37)</t>
  </si>
  <si>
    <t>(39)</t>
  </si>
  <si>
    <t>(40)</t>
  </si>
  <si>
    <t>ACSE7  Tab.11.4.1</t>
  </si>
  <si>
    <t>ACSE7  Tab.11.4.2</t>
  </si>
  <si>
    <t>ACSE7  Ec.11.4-1</t>
  </si>
  <si>
    <t>ACSE7  Ec.11.4-2</t>
  </si>
  <si>
    <t>ACSE7  Ec.11.4-3</t>
  </si>
  <si>
    <t>ACSE7  Ec.11.4-4</t>
  </si>
  <si>
    <t>ASCE7  Tab.12.8-2</t>
  </si>
  <si>
    <t>ASCE7  Ec.12.8-7</t>
  </si>
  <si>
    <t>ASCE7  Tab.12.8-1</t>
  </si>
  <si>
    <t>SS :</t>
  </si>
  <si>
    <t>S1 :</t>
  </si>
  <si>
    <t>SMS :</t>
  </si>
  <si>
    <t>SM1 :</t>
  </si>
  <si>
    <t>SDS :</t>
  </si>
  <si>
    <t>SD1 :</t>
  </si>
  <si>
    <t>(45)</t>
  </si>
  <si>
    <t>(46)</t>
  </si>
  <si>
    <r>
      <t>T</t>
    </r>
    <r>
      <rPr>
        <sz val="8"/>
        <color theme="1"/>
        <rFont val="Arial"/>
        <family val="2"/>
      </rPr>
      <t xml:space="preserve">max  </t>
    </r>
    <r>
      <rPr>
        <sz val="10"/>
        <color theme="1"/>
        <rFont val="Arial"/>
        <family val="2"/>
      </rPr>
      <t>- Periodo máximo</t>
    </r>
  </si>
  <si>
    <t>ASCE7  Ec.12.8-2</t>
  </si>
  <si>
    <t>ASCE7  Ec.12.8-6</t>
  </si>
  <si>
    <t>ASCE7  Ec.12.8-1</t>
  </si>
  <si>
    <t>ASCE7  Ec.18.2-1</t>
  </si>
  <si>
    <t>ASCE7  Ec.18.2-2</t>
  </si>
  <si>
    <t>(48)</t>
  </si>
  <si>
    <t>(47)</t>
  </si>
  <si>
    <t>(50)</t>
  </si>
  <si>
    <t>(49)</t>
  </si>
  <si>
    <t>ASCE7  Ec.12.8-3</t>
  </si>
  <si>
    <t xml:space="preserve">W [kips]                  </t>
  </si>
  <si>
    <t>h [ft]</t>
  </si>
  <si>
    <r>
      <t>C</t>
    </r>
    <r>
      <rPr>
        <b/>
        <sz val="8"/>
        <color theme="1"/>
        <rFont val="Arial"/>
        <family val="2"/>
      </rPr>
      <t>vx</t>
    </r>
    <r>
      <rPr>
        <b/>
        <sz val="10"/>
        <color theme="1"/>
        <rFont val="Arial"/>
        <family val="2"/>
      </rPr>
      <t xml:space="preserve">                    </t>
    </r>
  </si>
  <si>
    <r>
      <t>F</t>
    </r>
    <r>
      <rPr>
        <b/>
        <sz val="8"/>
        <color theme="1"/>
        <rFont val="Arial"/>
        <family val="2"/>
      </rPr>
      <t>x</t>
    </r>
    <r>
      <rPr>
        <b/>
        <sz val="10"/>
        <color theme="1"/>
        <rFont val="Arial"/>
        <family val="2"/>
      </rPr>
      <t xml:space="preserve">  [kip]                           </t>
    </r>
  </si>
  <si>
    <t>(51)</t>
  </si>
  <si>
    <t>(52)</t>
  </si>
  <si>
    <t>(36)</t>
  </si>
  <si>
    <r>
      <t>C</t>
    </r>
    <r>
      <rPr>
        <sz val="8"/>
        <color theme="1"/>
        <rFont val="Arial"/>
        <family val="2"/>
      </rPr>
      <t>L1</t>
    </r>
  </si>
  <si>
    <r>
      <t>C</t>
    </r>
    <r>
      <rPr>
        <sz val="8"/>
        <color theme="1"/>
        <rFont val="Arial"/>
        <family val="2"/>
      </rPr>
      <t>L2</t>
    </r>
  </si>
  <si>
    <t>(53)</t>
  </si>
  <si>
    <r>
      <t>h</t>
    </r>
    <r>
      <rPr>
        <b/>
        <sz val="8"/>
        <color theme="1"/>
        <rFont val="Arial"/>
        <family val="2"/>
      </rPr>
      <t>i</t>
    </r>
    <r>
      <rPr>
        <b/>
        <sz val="10"/>
        <color theme="1"/>
        <rFont val="Arial"/>
        <family val="2"/>
      </rPr>
      <t xml:space="preserve"> [ft]</t>
    </r>
  </si>
  <si>
    <r>
      <t>Φ</t>
    </r>
    <r>
      <rPr>
        <b/>
        <sz val="8"/>
        <color theme="1"/>
        <rFont val="Arial"/>
        <family val="2"/>
      </rPr>
      <t>1i</t>
    </r>
  </si>
  <si>
    <r>
      <t>W</t>
    </r>
    <r>
      <rPr>
        <b/>
        <sz val="8"/>
        <color theme="1"/>
        <rFont val="Arial"/>
        <family val="2"/>
      </rPr>
      <t>i</t>
    </r>
    <r>
      <rPr>
        <b/>
        <sz val="10"/>
        <color theme="1"/>
        <rFont val="Arial"/>
        <family val="2"/>
      </rPr>
      <t xml:space="preserve"> [kips]</t>
    </r>
  </si>
  <si>
    <t>(58)</t>
  </si>
  <si>
    <t>(59)</t>
  </si>
  <si>
    <t>% de Masa:</t>
  </si>
  <si>
    <t>ASCE7  Ec.18.4-2b</t>
  </si>
  <si>
    <t>ASCE7  Ec.18.5-4</t>
  </si>
  <si>
    <r>
      <t>W</t>
    </r>
    <r>
      <rPr>
        <sz val="8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:</t>
    </r>
  </si>
  <si>
    <r>
      <t>Γ</t>
    </r>
    <r>
      <rPr>
        <sz val="8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</si>
  <si>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t>(62)</t>
  </si>
  <si>
    <t>Real</t>
  </si>
  <si>
    <t xml:space="preserve"> Asumido</t>
  </si>
  <si>
    <t>Acumulado</t>
  </si>
  <si>
    <t>Peso por Piso [kip-s2/in]</t>
  </si>
  <si>
    <t>∑ Pesos [kip-s2/in]</t>
  </si>
  <si>
    <t>C - Inclinado</t>
  </si>
  <si>
    <r>
      <t>W</t>
    </r>
    <r>
      <rPr>
        <b/>
        <sz val="8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[kips]</t>
    </r>
  </si>
  <si>
    <t>(61)</t>
  </si>
  <si>
    <t>βvm</t>
  </si>
  <si>
    <t>(68)</t>
  </si>
  <si>
    <t>(66)</t>
  </si>
  <si>
    <r>
      <t>v</t>
    </r>
    <r>
      <rPr>
        <b/>
        <sz val="8"/>
        <color theme="1"/>
        <rFont val="Arial"/>
        <family val="2"/>
      </rPr>
      <t>i</t>
    </r>
    <r>
      <rPr>
        <b/>
        <sz val="10"/>
        <color theme="1"/>
        <rFont val="Arial"/>
        <family val="2"/>
      </rPr>
      <t xml:space="preserve"> [in/s]</t>
    </r>
  </si>
  <si>
    <r>
      <t>Г</t>
    </r>
    <r>
      <rPr>
        <b/>
        <sz val="8"/>
        <color theme="1"/>
        <rFont val="Arial"/>
        <family val="2"/>
      </rPr>
      <t>1</t>
    </r>
  </si>
  <si>
    <r>
      <t>δ</t>
    </r>
    <r>
      <rPr>
        <b/>
        <sz val="8"/>
        <color theme="1"/>
        <rFont val="Arial"/>
        <family val="2"/>
      </rPr>
      <t>i1</t>
    </r>
  </si>
  <si>
    <r>
      <t>F</t>
    </r>
    <r>
      <rPr>
        <b/>
        <sz val="8"/>
        <color theme="1"/>
        <rFont val="Arial"/>
        <family val="2"/>
      </rPr>
      <t>i1</t>
    </r>
    <r>
      <rPr>
        <b/>
        <sz val="10"/>
        <color theme="1"/>
        <rFont val="Arial"/>
        <family val="2"/>
      </rPr>
      <t xml:space="preserve"> [Kips]</t>
    </r>
  </si>
  <si>
    <r>
      <t>W</t>
    </r>
    <r>
      <rPr>
        <b/>
        <sz val="8"/>
        <color theme="1"/>
        <rFont val="Arial"/>
        <family val="2"/>
      </rPr>
      <t>1</t>
    </r>
  </si>
  <si>
    <t>(1)</t>
  </si>
  <si>
    <r>
      <t>F</t>
    </r>
    <r>
      <rPr>
        <b/>
        <sz val="8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 xml:space="preserve"> [kips]</t>
    </r>
  </si>
  <si>
    <r>
      <t>W</t>
    </r>
    <r>
      <rPr>
        <b/>
        <sz val="8"/>
        <color theme="1"/>
        <rFont val="Arial"/>
        <family val="2"/>
      </rPr>
      <t>1j</t>
    </r>
    <r>
      <rPr>
        <b/>
        <sz val="10"/>
        <color theme="1"/>
        <rFont val="Arial"/>
        <family val="2"/>
      </rPr>
      <t xml:space="preserve"> [k-in]</t>
    </r>
  </si>
  <si>
    <t>(60)</t>
  </si>
  <si>
    <r>
      <t>T</t>
    </r>
    <r>
      <rPr>
        <b/>
        <sz val="8"/>
        <color theme="1"/>
        <rFont val="Arial"/>
        <family val="2"/>
      </rPr>
      <t>X</t>
    </r>
    <r>
      <rPr>
        <b/>
        <sz val="10"/>
        <color theme="1"/>
        <rFont val="Arial"/>
        <family val="2"/>
      </rPr>
      <t xml:space="preserve"> :</t>
    </r>
  </si>
  <si>
    <r>
      <t>T</t>
    </r>
    <r>
      <rPr>
        <b/>
        <sz val="8"/>
        <color theme="1"/>
        <rFont val="Arial"/>
        <family val="2"/>
      </rPr>
      <t>Y</t>
    </r>
    <r>
      <rPr>
        <b/>
        <sz val="10"/>
        <color theme="1"/>
        <rFont val="Arial"/>
        <family val="2"/>
      </rPr>
      <t xml:space="preserve"> :</t>
    </r>
  </si>
  <si>
    <r>
      <t>Γ</t>
    </r>
    <r>
      <rPr>
        <b/>
        <sz val="8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:</t>
    </r>
  </si>
  <si>
    <r>
      <t>W</t>
    </r>
    <r>
      <rPr>
        <b/>
        <sz val="8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:</t>
    </r>
  </si>
  <si>
    <r>
      <t>T</t>
    </r>
    <r>
      <rPr>
        <b/>
        <sz val="8"/>
        <color theme="1"/>
        <rFont val="Arial"/>
        <family val="2"/>
      </rPr>
      <t>RX</t>
    </r>
    <r>
      <rPr>
        <b/>
        <sz val="10"/>
        <color theme="1"/>
        <rFont val="Arial"/>
        <family val="2"/>
      </rPr>
      <t xml:space="preserve"> :</t>
    </r>
  </si>
  <si>
    <r>
      <t>T</t>
    </r>
    <r>
      <rPr>
        <b/>
        <sz val="8"/>
        <color theme="1"/>
        <rFont val="Arial"/>
        <family val="2"/>
      </rPr>
      <t>RY</t>
    </r>
    <r>
      <rPr>
        <b/>
        <sz val="10"/>
        <color theme="1"/>
        <rFont val="Arial"/>
        <family val="2"/>
      </rPr>
      <t xml:space="preserve"> :</t>
    </r>
  </si>
  <si>
    <r>
      <t>Г</t>
    </r>
    <r>
      <rPr>
        <b/>
        <sz val="8"/>
        <color theme="1"/>
        <rFont val="Arial"/>
        <family val="2"/>
      </rPr>
      <t>R</t>
    </r>
    <r>
      <rPr>
        <b/>
        <sz val="10"/>
        <color theme="1"/>
        <rFont val="Arial"/>
        <family val="2"/>
      </rPr>
      <t xml:space="preserve"> :</t>
    </r>
  </si>
  <si>
    <r>
      <t>W</t>
    </r>
    <r>
      <rPr>
        <b/>
        <sz val="8"/>
        <color theme="1"/>
        <rFont val="Arial"/>
        <family val="2"/>
      </rPr>
      <t>R</t>
    </r>
    <r>
      <rPr>
        <b/>
        <sz val="10"/>
        <color theme="1"/>
        <rFont val="Arial"/>
        <family val="2"/>
      </rPr>
      <t xml:space="preserve"> :</t>
    </r>
  </si>
  <si>
    <t>(70)</t>
  </si>
  <si>
    <t>(71)</t>
  </si>
  <si>
    <t>(72)</t>
  </si>
  <si>
    <t>Parametros del Modo Residual</t>
  </si>
  <si>
    <t>M. Fundamental</t>
  </si>
  <si>
    <t>M. Residuales</t>
  </si>
  <si>
    <t>(73)</t>
  </si>
  <si>
    <r>
      <t>Φ</t>
    </r>
    <r>
      <rPr>
        <b/>
        <sz val="8"/>
        <color theme="1"/>
        <rFont val="Arial"/>
        <family val="2"/>
      </rPr>
      <t>i1</t>
    </r>
  </si>
  <si>
    <r>
      <t>Φ</t>
    </r>
    <r>
      <rPr>
        <b/>
        <sz val="8"/>
        <color theme="1"/>
        <rFont val="Arial"/>
        <family val="2"/>
      </rPr>
      <t>iR</t>
    </r>
  </si>
  <si>
    <r>
      <t>1-(Γ</t>
    </r>
    <r>
      <rPr>
        <b/>
        <sz val="8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*Φ</t>
    </r>
    <r>
      <rPr>
        <b/>
        <sz val="8"/>
        <color theme="1"/>
        <rFont val="Arial"/>
        <family val="2"/>
      </rPr>
      <t>i1</t>
    </r>
    <r>
      <rPr>
        <b/>
        <sz val="10"/>
        <color theme="1"/>
        <rFont val="Arial"/>
        <family val="2"/>
      </rPr>
      <t>)</t>
    </r>
  </si>
  <si>
    <t>ω1 :</t>
  </si>
  <si>
    <t>ω2 :</t>
  </si>
  <si>
    <r>
      <t>T</t>
    </r>
    <r>
      <rPr>
        <b/>
        <sz val="8"/>
        <color theme="1"/>
        <rFont val="Arial"/>
        <family val="2"/>
      </rPr>
      <t xml:space="preserve">RX </t>
    </r>
    <r>
      <rPr>
        <b/>
        <sz val="10"/>
        <color theme="1"/>
        <rFont val="Arial"/>
        <family val="2"/>
      </rPr>
      <t>:</t>
    </r>
  </si>
  <si>
    <r>
      <t xml:space="preserve">Sa </t>
    </r>
    <r>
      <rPr>
        <b/>
        <sz val="8"/>
        <color theme="1"/>
        <rFont val="Arial"/>
        <family val="2"/>
      </rPr>
      <t>RY</t>
    </r>
    <r>
      <rPr>
        <b/>
        <sz val="10"/>
        <color theme="1"/>
        <rFont val="Arial"/>
        <family val="2"/>
      </rPr>
      <t xml:space="preserve"> :</t>
    </r>
  </si>
  <si>
    <r>
      <t xml:space="preserve">Sd </t>
    </r>
    <r>
      <rPr>
        <b/>
        <sz val="8"/>
        <color theme="1"/>
        <rFont val="Arial"/>
        <family val="2"/>
      </rPr>
      <t>RY</t>
    </r>
    <r>
      <rPr>
        <b/>
        <sz val="10"/>
        <color theme="1"/>
        <rFont val="Arial"/>
        <family val="2"/>
      </rPr>
      <t xml:space="preserve"> :</t>
    </r>
  </si>
  <si>
    <r>
      <t xml:space="preserve">Sa </t>
    </r>
    <r>
      <rPr>
        <b/>
        <sz val="8"/>
        <color theme="1"/>
        <rFont val="Arial"/>
        <family val="2"/>
      </rPr>
      <t xml:space="preserve">RX </t>
    </r>
    <r>
      <rPr>
        <b/>
        <sz val="10"/>
        <color theme="1"/>
        <rFont val="Arial"/>
        <family val="2"/>
      </rPr>
      <t>:</t>
    </r>
  </si>
  <si>
    <r>
      <t xml:space="preserve">Sd </t>
    </r>
    <r>
      <rPr>
        <b/>
        <sz val="8"/>
        <color theme="1"/>
        <rFont val="Arial"/>
        <family val="2"/>
      </rPr>
      <t xml:space="preserve">RX </t>
    </r>
    <r>
      <rPr>
        <b/>
        <sz val="10"/>
        <color theme="1"/>
        <rFont val="Arial"/>
        <family val="2"/>
      </rPr>
      <t>:</t>
    </r>
  </si>
  <si>
    <r>
      <t xml:space="preserve">T </t>
    </r>
    <r>
      <rPr>
        <b/>
        <sz val="8"/>
        <color theme="1"/>
        <rFont val="Arial"/>
        <family val="2"/>
      </rPr>
      <t>1X</t>
    </r>
    <r>
      <rPr>
        <b/>
        <sz val="10"/>
        <color theme="1"/>
        <rFont val="Arial"/>
        <family val="2"/>
      </rPr>
      <t xml:space="preserve"> :</t>
    </r>
  </si>
  <si>
    <r>
      <t xml:space="preserve">Sa </t>
    </r>
    <r>
      <rPr>
        <b/>
        <sz val="8"/>
        <color theme="1"/>
        <rFont val="Arial"/>
        <family val="2"/>
      </rPr>
      <t>1X</t>
    </r>
    <r>
      <rPr>
        <b/>
        <sz val="10"/>
        <color theme="1"/>
        <rFont val="Arial"/>
        <family val="2"/>
      </rPr>
      <t xml:space="preserve"> :</t>
    </r>
  </si>
  <si>
    <r>
      <t xml:space="preserve">Sd </t>
    </r>
    <r>
      <rPr>
        <b/>
        <sz val="8"/>
        <color theme="1"/>
        <rFont val="Arial"/>
        <family val="2"/>
      </rPr>
      <t>1X</t>
    </r>
    <r>
      <rPr>
        <b/>
        <sz val="10"/>
        <color theme="1"/>
        <rFont val="Arial"/>
        <family val="2"/>
      </rPr>
      <t xml:space="preserve"> :</t>
    </r>
  </si>
  <si>
    <r>
      <t>T</t>
    </r>
    <r>
      <rPr>
        <b/>
        <sz val="8"/>
        <color theme="1"/>
        <rFont val="Arial"/>
        <family val="2"/>
      </rPr>
      <t xml:space="preserve"> 1Y </t>
    </r>
    <r>
      <rPr>
        <b/>
        <sz val="10"/>
        <color theme="1"/>
        <rFont val="Arial"/>
        <family val="2"/>
      </rPr>
      <t>:</t>
    </r>
  </si>
  <si>
    <r>
      <t xml:space="preserve">Sa </t>
    </r>
    <r>
      <rPr>
        <b/>
        <sz val="8"/>
        <color theme="1"/>
        <rFont val="Arial"/>
        <family val="2"/>
      </rPr>
      <t>1Y</t>
    </r>
    <r>
      <rPr>
        <b/>
        <sz val="10"/>
        <color theme="1"/>
        <rFont val="Arial"/>
        <family val="2"/>
      </rPr>
      <t xml:space="preserve"> :</t>
    </r>
  </si>
  <si>
    <r>
      <t xml:space="preserve">Sd </t>
    </r>
    <r>
      <rPr>
        <b/>
        <sz val="8"/>
        <color theme="1"/>
        <rFont val="Arial"/>
        <family val="2"/>
      </rPr>
      <t>1Y</t>
    </r>
    <r>
      <rPr>
        <b/>
        <sz val="10"/>
        <color theme="1"/>
        <rFont val="Arial"/>
        <family val="2"/>
      </rPr>
      <t xml:space="preserve"> :</t>
    </r>
  </si>
  <si>
    <r>
      <t>δ</t>
    </r>
    <r>
      <rPr>
        <b/>
        <sz val="8"/>
        <color theme="1"/>
        <rFont val="Arial"/>
        <family val="2"/>
      </rPr>
      <t>iR</t>
    </r>
  </si>
  <si>
    <r>
      <t>F</t>
    </r>
    <r>
      <rPr>
        <b/>
        <sz val="8"/>
        <color theme="1"/>
        <rFont val="Arial"/>
        <family val="2"/>
      </rPr>
      <t>iR</t>
    </r>
    <r>
      <rPr>
        <b/>
        <sz val="10"/>
        <color theme="1"/>
        <rFont val="Arial"/>
        <family val="2"/>
      </rPr>
      <t xml:space="preserve"> [Kips]</t>
    </r>
  </si>
  <si>
    <r>
      <t>W</t>
    </r>
    <r>
      <rPr>
        <b/>
        <sz val="8"/>
        <color theme="1"/>
        <rFont val="Arial"/>
        <family val="2"/>
      </rPr>
      <t>Rj</t>
    </r>
    <r>
      <rPr>
        <b/>
        <sz val="10"/>
        <color theme="1"/>
        <rFont val="Arial"/>
        <family val="2"/>
      </rPr>
      <t xml:space="preserve"> [k-in]</t>
    </r>
  </si>
  <si>
    <r>
      <t>β</t>
    </r>
    <r>
      <rPr>
        <b/>
        <sz val="8"/>
        <color theme="1"/>
        <rFont val="Arial"/>
        <family val="2"/>
      </rPr>
      <t>vR</t>
    </r>
  </si>
  <si>
    <r>
      <t>W*Φ</t>
    </r>
    <r>
      <rPr>
        <b/>
        <sz val="8"/>
        <color theme="1"/>
        <rFont val="Arial"/>
        <family val="2"/>
      </rPr>
      <t>R</t>
    </r>
    <r>
      <rPr>
        <b/>
        <sz val="10"/>
        <color theme="1"/>
        <rFont val="Arial"/>
        <family val="2"/>
      </rPr>
      <t>*Φ</t>
    </r>
    <r>
      <rPr>
        <b/>
        <sz val="8"/>
        <color theme="1"/>
        <rFont val="Arial"/>
        <family val="2"/>
      </rPr>
      <t>1</t>
    </r>
  </si>
  <si>
    <t>(74)</t>
  </si>
  <si>
    <t>(76)</t>
  </si>
  <si>
    <t>(77)</t>
  </si>
  <si>
    <t>μmax :</t>
  </si>
  <si>
    <r>
      <t>T</t>
    </r>
    <r>
      <rPr>
        <b/>
        <sz val="8"/>
        <color theme="1"/>
        <rFont val="Arial"/>
        <family val="2"/>
      </rPr>
      <t>1:</t>
    </r>
  </si>
  <si>
    <r>
      <t>T</t>
    </r>
    <r>
      <rPr>
        <b/>
        <sz val="8"/>
        <color theme="1"/>
        <rFont val="Arial"/>
        <family val="2"/>
      </rPr>
      <t>s:</t>
    </r>
  </si>
  <si>
    <r>
      <t>T</t>
    </r>
    <r>
      <rPr>
        <sz val="8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≥ T</t>
    </r>
    <r>
      <rPr>
        <sz val="8"/>
        <color theme="1"/>
        <rFont val="Arial"/>
        <family val="2"/>
      </rPr>
      <t>s</t>
    </r>
  </si>
  <si>
    <r>
      <t>T</t>
    </r>
    <r>
      <rPr>
        <sz val="8"/>
        <color theme="1"/>
        <rFont val="Arial"/>
        <family val="2"/>
      </rPr>
      <t xml:space="preserve">1D </t>
    </r>
    <r>
      <rPr>
        <sz val="10"/>
        <color theme="1"/>
        <rFont val="Arial"/>
        <family val="2"/>
      </rPr>
      <t>≤ T</t>
    </r>
    <r>
      <rPr>
        <sz val="8"/>
        <color theme="1"/>
        <rFont val="Arial"/>
        <family val="2"/>
      </rPr>
      <t>s</t>
    </r>
  </si>
  <si>
    <r>
      <t>μ</t>
    </r>
    <r>
      <rPr>
        <sz val="8"/>
        <color theme="1"/>
        <rFont val="Calibri"/>
        <family val="2"/>
      </rPr>
      <t>DR :</t>
    </r>
  </si>
  <si>
    <r>
      <t>μ</t>
    </r>
    <r>
      <rPr>
        <sz val="8"/>
        <color theme="1"/>
        <rFont val="Calibri"/>
        <family val="2"/>
        <scheme val="minor"/>
      </rPr>
      <t>MR :</t>
    </r>
  </si>
  <si>
    <t>(78)</t>
  </si>
  <si>
    <t>(79)</t>
  </si>
  <si>
    <r>
      <t>T</t>
    </r>
    <r>
      <rPr>
        <b/>
        <sz val="8"/>
        <color rgb="FF002060"/>
        <rFont val="Arial"/>
        <family val="2"/>
      </rPr>
      <t>1D</t>
    </r>
    <r>
      <rPr>
        <b/>
        <sz val="10"/>
        <color rgb="FF002060"/>
        <rFont val="Arial"/>
        <family val="2"/>
      </rPr>
      <t xml:space="preserve"> :</t>
    </r>
  </si>
  <si>
    <r>
      <t>T</t>
    </r>
    <r>
      <rPr>
        <b/>
        <sz val="8"/>
        <color rgb="FF002060"/>
        <rFont val="Arial"/>
        <family val="2"/>
      </rPr>
      <t>1M</t>
    </r>
    <r>
      <rPr>
        <b/>
        <sz val="10"/>
        <color rgb="FF002060"/>
        <rFont val="Arial"/>
        <family val="2"/>
      </rPr>
      <t xml:space="preserve"> :</t>
    </r>
  </si>
  <si>
    <r>
      <t>T</t>
    </r>
    <r>
      <rPr>
        <sz val="8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:</t>
    </r>
  </si>
  <si>
    <t>A. Efectivo</t>
  </si>
  <si>
    <t>(82)</t>
  </si>
  <si>
    <t>(83)</t>
  </si>
  <si>
    <t>(80)</t>
  </si>
  <si>
    <t>(81)</t>
  </si>
  <si>
    <r>
      <t xml:space="preserve">β </t>
    </r>
    <r>
      <rPr>
        <sz val="8"/>
        <color theme="1"/>
        <rFont val="Arial"/>
        <family val="2"/>
      </rPr>
      <t>v1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</si>
  <si>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sz val="8"/>
        <color theme="1"/>
        <rFont val="Arial"/>
        <family val="2"/>
      </rPr>
      <t>vR</t>
    </r>
    <r>
      <rPr>
        <sz val="10"/>
        <color theme="1"/>
        <rFont val="Arial"/>
        <family val="2"/>
      </rPr>
      <t>:</t>
    </r>
  </si>
  <si>
    <r>
      <t>q</t>
    </r>
    <r>
      <rPr>
        <sz val="8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</si>
  <si>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sz val="8"/>
        <color theme="1"/>
        <rFont val="Arial"/>
        <family val="2"/>
      </rPr>
      <t>HD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</si>
  <si>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sz val="8"/>
        <color theme="1"/>
        <rFont val="Arial"/>
        <family val="2"/>
      </rPr>
      <t>HM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</si>
  <si>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sz val="8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</si>
  <si>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b/>
        <sz val="8"/>
        <color rgb="FF002060"/>
        <rFont val="Arial"/>
        <family val="2"/>
      </rPr>
      <t xml:space="preserve">R </t>
    </r>
    <r>
      <rPr>
        <b/>
        <sz val="10"/>
        <color rgb="FF002060"/>
        <rFont val="Arial"/>
        <family val="2"/>
      </rPr>
      <t>:</t>
    </r>
  </si>
  <si>
    <t>(84)</t>
  </si>
  <si>
    <t>(85)</t>
  </si>
  <si>
    <r>
      <t xml:space="preserve">β </t>
    </r>
    <r>
      <rPr>
        <sz val="8"/>
        <color theme="1"/>
        <rFont val="Arial"/>
        <family val="2"/>
      </rPr>
      <t>R</t>
    </r>
    <r>
      <rPr>
        <sz val="10"/>
        <color theme="1"/>
        <rFont val="Arial"/>
        <family val="2"/>
      </rPr>
      <t xml:space="preserve"> :</t>
    </r>
  </si>
  <si>
    <r>
      <t>B</t>
    </r>
    <r>
      <rPr>
        <b/>
        <sz val="8"/>
        <color rgb="FF002060"/>
        <rFont val="Arial"/>
        <family val="2"/>
      </rPr>
      <t xml:space="preserve"> 1D</t>
    </r>
    <r>
      <rPr>
        <b/>
        <sz val="10"/>
        <color rgb="FF002060"/>
        <rFont val="Arial"/>
        <family val="2"/>
      </rPr>
      <t xml:space="preserve"> :</t>
    </r>
  </si>
  <si>
    <r>
      <t xml:space="preserve">B </t>
    </r>
    <r>
      <rPr>
        <b/>
        <sz val="8"/>
        <color rgb="FF002060"/>
        <rFont val="Arial"/>
        <family val="2"/>
      </rPr>
      <t xml:space="preserve">1M </t>
    </r>
    <r>
      <rPr>
        <b/>
        <sz val="10"/>
        <color rgb="FF002060"/>
        <rFont val="Arial"/>
        <family val="2"/>
      </rPr>
      <t>:</t>
    </r>
  </si>
  <si>
    <r>
      <t xml:space="preserve">B </t>
    </r>
    <r>
      <rPr>
        <b/>
        <sz val="8"/>
        <color rgb="FF002060"/>
        <rFont val="Arial"/>
        <family val="2"/>
      </rPr>
      <t xml:space="preserve">R </t>
    </r>
    <r>
      <rPr>
        <b/>
        <sz val="10"/>
        <color rgb="FF002060"/>
        <rFont val="Arial"/>
        <family val="2"/>
      </rPr>
      <t>:</t>
    </r>
  </si>
  <si>
    <r>
      <t xml:space="preserve">β </t>
    </r>
    <r>
      <rPr>
        <b/>
        <sz val="8"/>
        <color rgb="FF002060"/>
        <rFont val="Arial"/>
        <family val="2"/>
      </rPr>
      <t>1D</t>
    </r>
    <r>
      <rPr>
        <b/>
        <sz val="10"/>
        <color rgb="FF002060"/>
        <rFont val="Arial"/>
        <family val="2"/>
      </rPr>
      <t xml:space="preserve"> :</t>
    </r>
  </si>
  <si>
    <r>
      <t xml:space="preserve">β </t>
    </r>
    <r>
      <rPr>
        <b/>
        <sz val="8"/>
        <color rgb="FF002060"/>
        <rFont val="Arial"/>
        <family val="2"/>
      </rPr>
      <t>1M</t>
    </r>
    <r>
      <rPr>
        <b/>
        <sz val="10"/>
        <color rgb="FF002060"/>
        <rFont val="Arial"/>
        <family val="2"/>
      </rPr>
      <t xml:space="preserve"> :</t>
    </r>
  </si>
  <si>
    <r>
      <t xml:space="preserve">β </t>
    </r>
    <r>
      <rPr>
        <b/>
        <sz val="8"/>
        <color rgb="FF002060"/>
        <rFont val="Arial"/>
        <family val="2"/>
      </rPr>
      <t xml:space="preserve">1E </t>
    </r>
    <r>
      <rPr>
        <b/>
        <sz val="10"/>
        <color rgb="FF002060"/>
        <rFont val="Arial"/>
        <family val="2"/>
      </rPr>
      <t>:</t>
    </r>
  </si>
  <si>
    <r>
      <t xml:space="preserve">β </t>
    </r>
    <r>
      <rPr>
        <sz val="8"/>
        <color theme="1"/>
        <rFont val="Arial"/>
        <family val="2"/>
      </rPr>
      <t>1D</t>
    </r>
    <r>
      <rPr>
        <sz val="10"/>
        <color theme="1"/>
        <rFont val="Arial"/>
        <family val="2"/>
      </rPr>
      <t xml:space="preserve"> :</t>
    </r>
  </si>
  <si>
    <r>
      <t xml:space="preserve">β </t>
    </r>
    <r>
      <rPr>
        <sz val="8"/>
        <color theme="1"/>
        <rFont val="Arial"/>
        <family val="2"/>
      </rPr>
      <t>1M</t>
    </r>
    <r>
      <rPr>
        <sz val="10"/>
        <color theme="1"/>
        <rFont val="Arial"/>
        <family val="2"/>
      </rPr>
      <t xml:space="preserve"> :</t>
    </r>
  </si>
  <si>
    <r>
      <t>β</t>
    </r>
    <r>
      <rPr>
        <sz val="8"/>
        <color theme="1"/>
        <rFont val="Arial"/>
        <family val="2"/>
      </rPr>
      <t xml:space="preserve"> E1</t>
    </r>
    <r>
      <rPr>
        <sz val="10"/>
        <color theme="1"/>
        <rFont val="Arial"/>
        <family val="2"/>
      </rPr>
      <t>:</t>
    </r>
  </si>
  <si>
    <r>
      <t xml:space="preserve">B </t>
    </r>
    <r>
      <rPr>
        <b/>
        <sz val="8"/>
        <color rgb="FF002060"/>
        <rFont val="Arial"/>
        <family val="2"/>
      </rPr>
      <t>E1</t>
    </r>
    <r>
      <rPr>
        <b/>
        <sz val="10"/>
        <color rgb="FF002060"/>
        <rFont val="Arial"/>
        <family val="2"/>
      </rPr>
      <t xml:space="preserve"> :</t>
    </r>
  </si>
  <si>
    <t>(90)</t>
  </si>
  <si>
    <t xml:space="preserve"> Modo Fundamental</t>
  </si>
  <si>
    <t xml:space="preserve">Modo Residual </t>
  </si>
  <si>
    <t>(91)</t>
  </si>
  <si>
    <t>ASCE7  Ec.18.5-15</t>
  </si>
  <si>
    <t>ASCE7  18.5.2.4</t>
  </si>
  <si>
    <r>
      <t>C</t>
    </r>
    <r>
      <rPr>
        <b/>
        <sz val="8"/>
        <color rgb="FF002060"/>
        <rFont val="Arial"/>
        <family val="2"/>
      </rPr>
      <t>SR</t>
    </r>
    <r>
      <rPr>
        <b/>
        <sz val="10"/>
        <color rgb="FF002060"/>
        <rFont val="Arial"/>
        <family val="2"/>
      </rPr>
      <t xml:space="preserve"> :</t>
    </r>
  </si>
  <si>
    <r>
      <t>C</t>
    </r>
    <r>
      <rPr>
        <b/>
        <sz val="8"/>
        <color rgb="FF002060"/>
        <rFont val="Arial"/>
        <family val="2"/>
      </rPr>
      <t>S1</t>
    </r>
    <r>
      <rPr>
        <b/>
        <sz val="10"/>
        <color rgb="FF002060"/>
        <rFont val="Arial"/>
        <family val="2"/>
      </rPr>
      <t xml:space="preserve"> :</t>
    </r>
  </si>
  <si>
    <r>
      <t>T</t>
    </r>
    <r>
      <rPr>
        <sz val="8"/>
        <color theme="1"/>
        <rFont val="Arial"/>
        <family val="2"/>
      </rPr>
      <t>1D</t>
    </r>
    <r>
      <rPr>
        <sz val="10"/>
        <color theme="1"/>
        <rFont val="Arial"/>
        <family val="2"/>
      </rPr>
      <t xml:space="preserve"> :</t>
    </r>
  </si>
  <si>
    <t>ASCE7  18.6.2.3</t>
  </si>
  <si>
    <t>ASCE7  18.6.2.1</t>
  </si>
  <si>
    <t>ASCE7  Ec.18.6-5</t>
  </si>
  <si>
    <t>ASCE7  Ec 18.6-3</t>
  </si>
  <si>
    <t>ASCE7  Ec.18.6-4</t>
  </si>
  <si>
    <t>ASCE7  Ec.18.6-1</t>
  </si>
  <si>
    <t>ASCE7  Ec.18.6-2</t>
  </si>
  <si>
    <t>ASCE7  Ec.18.5-2</t>
  </si>
  <si>
    <t>ASCE7  Ec.18.5-10</t>
  </si>
  <si>
    <t>ASCE7  Ec.18.5-1</t>
  </si>
  <si>
    <t>(87)</t>
  </si>
  <si>
    <t>(88)</t>
  </si>
  <si>
    <t>(86)</t>
  </si>
  <si>
    <r>
      <t>V</t>
    </r>
    <r>
      <rPr>
        <sz val="8"/>
        <color theme="1"/>
        <rFont val="Arial"/>
        <family val="2"/>
      </rPr>
      <t xml:space="preserve"> R</t>
    </r>
    <r>
      <rPr>
        <sz val="10"/>
        <color theme="1"/>
        <rFont val="Arial"/>
        <family val="2"/>
      </rPr>
      <t xml:space="preserve"> :</t>
    </r>
  </si>
  <si>
    <r>
      <t xml:space="preserve">V </t>
    </r>
    <r>
      <rPr>
        <sz val="8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:</t>
    </r>
  </si>
  <si>
    <t xml:space="preserve">Cy </t>
  </si>
  <si>
    <t>Constante de Amortiguamiento [k-sec-in]</t>
  </si>
  <si>
    <t>Cx</t>
  </si>
  <si>
    <t xml:space="preserve">Coeficientes de Amortiguamiento </t>
  </si>
  <si>
    <t>A.  histerético</t>
  </si>
  <si>
    <t>Amortiguamiento Efectivo</t>
  </si>
  <si>
    <r>
      <t>Para T</t>
    </r>
    <r>
      <rPr>
        <sz val="8"/>
        <color theme="1"/>
        <rFont val="Arial"/>
        <family val="2"/>
      </rPr>
      <t>1D</t>
    </r>
    <r>
      <rPr>
        <sz val="10"/>
        <color theme="1"/>
        <rFont val="Arial"/>
        <family val="2"/>
      </rPr>
      <t xml:space="preserve"> &lt; T</t>
    </r>
    <r>
      <rPr>
        <sz val="8"/>
        <color theme="1"/>
        <rFont val="Arial"/>
        <family val="2"/>
      </rPr>
      <t>S</t>
    </r>
  </si>
  <si>
    <r>
      <t>Para T</t>
    </r>
    <r>
      <rPr>
        <sz val="8"/>
        <color theme="1"/>
        <rFont val="Arial"/>
        <family val="2"/>
      </rPr>
      <t>1D</t>
    </r>
    <r>
      <rPr>
        <sz val="10"/>
        <color theme="1"/>
        <rFont val="Arial"/>
        <family val="2"/>
      </rPr>
      <t xml:space="preserve"> ≥ T</t>
    </r>
    <r>
      <rPr>
        <sz val="8"/>
        <color theme="1"/>
        <rFont val="Arial"/>
        <family val="2"/>
      </rPr>
      <t>S</t>
    </r>
  </si>
  <si>
    <r>
      <t xml:space="preserve">D </t>
    </r>
    <r>
      <rPr>
        <b/>
        <sz val="8"/>
        <color rgb="FF002060"/>
        <rFont val="Arial"/>
        <family val="2"/>
      </rPr>
      <t>1D</t>
    </r>
    <r>
      <rPr>
        <b/>
        <sz val="10"/>
        <color rgb="FF002060"/>
        <rFont val="Arial"/>
        <family val="2"/>
      </rPr>
      <t>:</t>
    </r>
  </si>
  <si>
    <r>
      <t xml:space="preserve">D </t>
    </r>
    <r>
      <rPr>
        <b/>
        <sz val="9"/>
        <color rgb="FF002060"/>
        <rFont val="Arial"/>
        <family val="2"/>
      </rPr>
      <t>RD</t>
    </r>
    <r>
      <rPr>
        <b/>
        <sz val="10"/>
        <color rgb="FF002060"/>
        <rFont val="Arial"/>
        <family val="2"/>
      </rPr>
      <t xml:space="preserve"> :</t>
    </r>
  </si>
  <si>
    <t>(92)</t>
  </si>
  <si>
    <t>(93)</t>
  </si>
  <si>
    <t>(94)</t>
  </si>
  <si>
    <t>ASCE7  Ec.18.4-12a</t>
  </si>
  <si>
    <t>ASCE7  Ec.18.4-12b</t>
  </si>
  <si>
    <t>ASCE7  Ec.18.4-13</t>
  </si>
  <si>
    <r>
      <t xml:space="preserve">D </t>
    </r>
    <r>
      <rPr>
        <b/>
        <sz val="8"/>
        <color rgb="FF002060"/>
        <rFont val="Arial"/>
        <family val="2"/>
      </rPr>
      <t>1M</t>
    </r>
  </si>
  <si>
    <r>
      <t>Para T</t>
    </r>
    <r>
      <rPr>
        <sz val="8"/>
        <color theme="1"/>
        <rFont val="Arial"/>
        <family val="2"/>
      </rPr>
      <t>1M</t>
    </r>
    <r>
      <rPr>
        <sz val="10"/>
        <color theme="1"/>
        <rFont val="Arial"/>
        <family val="2"/>
      </rPr>
      <t xml:space="preserve"> &lt; T</t>
    </r>
    <r>
      <rPr>
        <sz val="8"/>
        <color theme="1"/>
        <rFont val="Arial"/>
        <family val="2"/>
      </rPr>
      <t>S</t>
    </r>
  </si>
  <si>
    <r>
      <t>Para T</t>
    </r>
    <r>
      <rPr>
        <sz val="8"/>
        <color theme="1"/>
        <rFont val="Arial"/>
        <family val="2"/>
      </rPr>
      <t>1M</t>
    </r>
    <r>
      <rPr>
        <sz val="10"/>
        <color theme="1"/>
        <rFont val="Arial"/>
        <family val="2"/>
      </rPr>
      <t xml:space="preserve"> ≥ T</t>
    </r>
    <r>
      <rPr>
        <sz val="8"/>
        <color theme="1"/>
        <rFont val="Arial"/>
        <family val="2"/>
      </rPr>
      <t>S</t>
    </r>
  </si>
  <si>
    <r>
      <t xml:space="preserve">D </t>
    </r>
    <r>
      <rPr>
        <b/>
        <sz val="8"/>
        <color rgb="FF002060"/>
        <rFont val="Arial"/>
        <family val="2"/>
      </rPr>
      <t>RM</t>
    </r>
    <r>
      <rPr>
        <b/>
        <sz val="10"/>
        <color rgb="FF002060"/>
        <rFont val="Arial"/>
        <family val="2"/>
      </rPr>
      <t xml:space="preserve"> :</t>
    </r>
  </si>
  <si>
    <t>(95)</t>
  </si>
  <si>
    <t>(96)</t>
  </si>
  <si>
    <t>(97)</t>
  </si>
  <si>
    <r>
      <t xml:space="preserve">Δ </t>
    </r>
    <r>
      <rPr>
        <b/>
        <sz val="8"/>
        <color theme="1"/>
        <rFont val="Arial"/>
        <family val="2"/>
      </rPr>
      <t>1D</t>
    </r>
  </si>
  <si>
    <r>
      <t xml:space="preserve">Δ </t>
    </r>
    <r>
      <rPr>
        <b/>
        <sz val="8"/>
        <color theme="1"/>
        <rFont val="Arial"/>
        <family val="2"/>
      </rPr>
      <t>RD</t>
    </r>
  </si>
  <si>
    <r>
      <t xml:space="preserve">δ </t>
    </r>
    <r>
      <rPr>
        <b/>
        <sz val="8"/>
        <color theme="1"/>
        <rFont val="Arial"/>
        <family val="2"/>
      </rPr>
      <t>RD</t>
    </r>
  </si>
  <si>
    <r>
      <t xml:space="preserve">δ </t>
    </r>
    <r>
      <rPr>
        <b/>
        <sz val="8"/>
        <color theme="1"/>
        <rFont val="Arial"/>
        <family val="2"/>
      </rPr>
      <t>1D</t>
    </r>
  </si>
  <si>
    <t>(99)</t>
  </si>
  <si>
    <t>(100)</t>
  </si>
  <si>
    <t>(98)</t>
  </si>
  <si>
    <r>
      <t xml:space="preserve">δ </t>
    </r>
    <r>
      <rPr>
        <b/>
        <sz val="8"/>
        <rFont val="Arial"/>
        <family val="2"/>
      </rPr>
      <t>D</t>
    </r>
  </si>
  <si>
    <t>Deflexión de Piso [in]</t>
  </si>
  <si>
    <r>
      <t xml:space="preserve">    Φ</t>
    </r>
    <r>
      <rPr>
        <b/>
        <sz val="8"/>
        <color theme="1"/>
        <rFont val="Arial"/>
        <family val="2"/>
      </rPr>
      <t>i1    (53)</t>
    </r>
  </si>
  <si>
    <r>
      <t xml:space="preserve">    Φ</t>
    </r>
    <r>
      <rPr>
        <b/>
        <sz val="8"/>
        <color theme="1"/>
        <rFont val="Arial"/>
        <family val="2"/>
      </rPr>
      <t>iR    (73)</t>
    </r>
  </si>
  <si>
    <r>
      <t xml:space="preserve">δ </t>
    </r>
    <r>
      <rPr>
        <b/>
        <sz val="8"/>
        <color theme="1"/>
        <rFont val="Arial"/>
        <family val="2"/>
      </rPr>
      <t>1M</t>
    </r>
  </si>
  <si>
    <r>
      <t xml:space="preserve">Δ </t>
    </r>
    <r>
      <rPr>
        <b/>
        <sz val="8"/>
        <color theme="1"/>
        <rFont val="Arial"/>
        <family val="2"/>
      </rPr>
      <t>1M</t>
    </r>
  </si>
  <si>
    <r>
      <t xml:space="preserve">δ </t>
    </r>
    <r>
      <rPr>
        <b/>
        <sz val="8"/>
        <color theme="1"/>
        <rFont val="Arial"/>
        <family val="2"/>
      </rPr>
      <t>RM</t>
    </r>
  </si>
  <si>
    <r>
      <t xml:space="preserve">Δ </t>
    </r>
    <r>
      <rPr>
        <b/>
        <sz val="8"/>
        <color theme="1"/>
        <rFont val="Arial"/>
        <family val="2"/>
      </rPr>
      <t>RM</t>
    </r>
  </si>
  <si>
    <r>
      <t xml:space="preserve">δ </t>
    </r>
    <r>
      <rPr>
        <b/>
        <sz val="8"/>
        <rFont val="Arial"/>
        <family val="2"/>
      </rPr>
      <t>M</t>
    </r>
  </si>
  <si>
    <t>(101)</t>
  </si>
  <si>
    <r>
      <t xml:space="preserve">Δ </t>
    </r>
    <r>
      <rPr>
        <b/>
        <sz val="8"/>
        <rFont val="Arial"/>
        <family val="2"/>
      </rPr>
      <t>D</t>
    </r>
  </si>
  <si>
    <t>Derivas de Piso [in]</t>
  </si>
  <si>
    <r>
      <t xml:space="preserve">Δ </t>
    </r>
    <r>
      <rPr>
        <b/>
        <sz val="8"/>
        <rFont val="Arial"/>
        <family val="2"/>
      </rPr>
      <t>M</t>
    </r>
  </si>
  <si>
    <t>Velocidad de piso [in/seg]</t>
  </si>
  <si>
    <t>(103)</t>
  </si>
  <si>
    <t>(104)</t>
  </si>
  <si>
    <t>(102)</t>
  </si>
  <si>
    <r>
      <rPr>
        <b/>
        <sz val="12"/>
        <rFont val="Arial"/>
        <family val="2"/>
      </rPr>
      <t xml:space="preserve">∇ </t>
    </r>
    <r>
      <rPr>
        <b/>
        <sz val="8"/>
        <rFont val="Arial"/>
        <family val="2"/>
      </rPr>
      <t>1D</t>
    </r>
  </si>
  <si>
    <r>
      <rPr>
        <b/>
        <sz val="12"/>
        <rFont val="Arial"/>
        <family val="2"/>
      </rPr>
      <t>∇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RD</t>
    </r>
  </si>
  <si>
    <r>
      <rPr>
        <b/>
        <sz val="12"/>
        <rFont val="Arial"/>
        <family val="2"/>
      </rPr>
      <t>∇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D</t>
    </r>
  </si>
  <si>
    <r>
      <rPr>
        <b/>
        <sz val="12"/>
        <rFont val="Arial"/>
        <family val="2"/>
      </rPr>
      <t xml:space="preserve">∇ </t>
    </r>
    <r>
      <rPr>
        <b/>
        <sz val="8"/>
        <rFont val="Arial"/>
        <family val="2"/>
      </rPr>
      <t>1M</t>
    </r>
  </si>
  <si>
    <r>
      <rPr>
        <b/>
        <sz val="12"/>
        <rFont val="Arial"/>
        <family val="2"/>
      </rPr>
      <t>∇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RM</t>
    </r>
  </si>
  <si>
    <r>
      <rPr>
        <b/>
        <sz val="12"/>
        <rFont val="Arial"/>
        <family val="2"/>
      </rPr>
      <t>∇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M</t>
    </r>
  </si>
  <si>
    <t>(107)</t>
  </si>
  <si>
    <t>(105)</t>
  </si>
  <si>
    <t>D y :</t>
  </si>
  <si>
    <t>ASCE7  Ec.18.6-10</t>
  </si>
  <si>
    <t>ASCE7  Ec.18.6-9</t>
  </si>
  <si>
    <t>(106)</t>
  </si>
  <si>
    <t>Desplazamiento axial de los Amortiguadores [in]</t>
  </si>
  <si>
    <t>Velocidad axial de los amortiguadores [in/seg]</t>
  </si>
  <si>
    <r>
      <t xml:space="preserve"> [Δ</t>
    </r>
    <r>
      <rPr>
        <b/>
        <sz val="8"/>
        <color theme="1"/>
        <rFont val="Arial"/>
        <family val="2"/>
      </rPr>
      <t>M</t>
    </r>
    <r>
      <rPr>
        <b/>
        <sz val="10"/>
        <color theme="1"/>
        <rFont val="Arial"/>
        <family val="2"/>
      </rPr>
      <t>]</t>
    </r>
  </si>
  <si>
    <r>
      <t xml:space="preserve"> [</t>
    </r>
    <r>
      <rPr>
        <b/>
        <sz val="11"/>
        <color theme="1"/>
        <rFont val="Calibri"/>
        <family val="2"/>
      </rPr>
      <t>∇</t>
    </r>
    <r>
      <rPr>
        <b/>
        <sz val="8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]</t>
    </r>
  </si>
  <si>
    <r>
      <t xml:space="preserve"> [Δ</t>
    </r>
    <r>
      <rPr>
        <b/>
        <sz val="8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>]</t>
    </r>
  </si>
  <si>
    <r>
      <t xml:space="preserve"> </t>
    </r>
    <r>
      <rPr>
        <b/>
        <sz val="11"/>
        <color theme="1"/>
        <rFont val="Arial"/>
        <family val="2"/>
      </rPr>
      <t>[∇</t>
    </r>
    <r>
      <rPr>
        <b/>
        <sz val="8"/>
        <color theme="1"/>
        <rFont val="Arial"/>
        <family val="2"/>
      </rPr>
      <t>D</t>
    </r>
    <r>
      <rPr>
        <b/>
        <sz val="11"/>
        <color theme="1"/>
        <rFont val="Arial"/>
        <family val="2"/>
      </rPr>
      <t>]</t>
    </r>
  </si>
  <si>
    <t>F [kips]</t>
  </si>
  <si>
    <r>
      <rPr>
        <b/>
        <sz val="12"/>
        <color theme="1"/>
        <rFont val="Arial"/>
        <family val="2"/>
      </rPr>
      <t>∇</t>
    </r>
    <r>
      <rPr>
        <b/>
        <sz val="10"/>
        <color theme="1"/>
        <rFont val="Arial"/>
        <family val="2"/>
      </rPr>
      <t xml:space="preserve"> [in/sec]</t>
    </r>
  </si>
  <si>
    <t>∇</t>
  </si>
  <si>
    <t xml:space="preserve">kips </t>
  </si>
  <si>
    <t xml:space="preserve"> PREDIMENSIONAMIENTO DE LA ESTRUCTURA </t>
  </si>
  <si>
    <t xml:space="preserve">DATOS </t>
  </si>
  <si>
    <t>[ft]</t>
  </si>
  <si>
    <t>DATOS DEL ESPECTRO</t>
  </si>
  <si>
    <t xml:space="preserve"> COEFIENTE Cs                    Insertar en Etabs</t>
  </si>
  <si>
    <t xml:space="preserve">Factor de deriva permisibles  </t>
  </si>
  <si>
    <t>CORTANTE DE BASE</t>
  </si>
  <si>
    <t>Cortante  de Base</t>
  </si>
  <si>
    <t>RAZON DE DERIVAS</t>
  </si>
  <si>
    <t>Comprovacion del Coeficiente de                                  Irregularidad Torsional</t>
  </si>
  <si>
    <t xml:space="preserve">PARAMETROS OBTENIDOS DE LA NORMA </t>
  </si>
  <si>
    <t>Promedio</t>
  </si>
  <si>
    <t>1ra Aproximacion</t>
  </si>
  <si>
    <t>INCLINACION DE LOS DISIPADORES</t>
  </si>
  <si>
    <t>PROPIEDADES DEL DISIPADOR - CONSTANTE DE AMORTIGUAMIENTO</t>
  </si>
  <si>
    <t>PRIMERA ITERACION DE LA CONSTANTE DE AMORTIGUMIENTO</t>
  </si>
  <si>
    <t>CONSTANTE DE AMORTIGUMIENTO FINAL</t>
  </si>
  <si>
    <t>Valores Iterados</t>
  </si>
  <si>
    <t>Constantes de Amortiguamiento - 1ra Aproximacion</t>
  </si>
  <si>
    <t>Amortiguamiento</t>
  </si>
  <si>
    <t xml:space="preserve">Solo se permite modificar los recuadros de color verde </t>
  </si>
  <si>
    <t>PARAMETROS MODALES</t>
  </si>
  <si>
    <t>PROPIEDADES DEL MODO FUNDAMENTAL</t>
  </si>
  <si>
    <t>Wi*Φ1i</t>
  </si>
  <si>
    <t>Wi*(Φ1i^2)</t>
  </si>
  <si>
    <t>AMORTIGUAMIENTO SUPLEMENTARIO DEL MODO FUNDAMENTAL</t>
  </si>
  <si>
    <t xml:space="preserve"> Amortiguamiento suplementario del 1er Modo en la Direccion X</t>
  </si>
  <si>
    <t xml:space="preserve"> Amortiguamiento suplementario del 1er Modo en la Direccion Y</t>
  </si>
  <si>
    <t xml:space="preserve">in </t>
  </si>
  <si>
    <t>PROPIEDADES DEL MODO RESIDUAL</t>
  </si>
  <si>
    <t>AMORTIGUAMIENTO SUPLEMENTARIO DEL MODO RESIDUAL</t>
  </si>
  <si>
    <t>ORTOGONALIDAD MODAL</t>
  </si>
  <si>
    <t>DUCTILIDAD EFECTIVA</t>
  </si>
  <si>
    <r>
      <t>μ</t>
    </r>
    <r>
      <rPr>
        <sz val="8"/>
        <color theme="1"/>
        <rFont val="Calibri"/>
        <family val="2"/>
      </rPr>
      <t xml:space="preserve">D1 </t>
    </r>
  </si>
  <si>
    <t>Para analisis lineales usar valores igulaes o inferiores a 1.5</t>
  </si>
  <si>
    <r>
      <t>μ</t>
    </r>
    <r>
      <rPr>
        <sz val="8"/>
        <color theme="1"/>
        <rFont val="Calibri"/>
        <family val="2"/>
      </rPr>
      <t>R</t>
    </r>
  </si>
  <si>
    <r>
      <t>μ</t>
    </r>
    <r>
      <rPr>
        <sz val="8"/>
        <color theme="1"/>
        <rFont val="Calibri"/>
        <family val="2"/>
        <scheme val="minor"/>
      </rPr>
      <t xml:space="preserve">M1 </t>
    </r>
  </si>
  <si>
    <t>Tomar valores de 1</t>
  </si>
  <si>
    <t>Tomar valores inferiores a la ductilidad efectiva maxima</t>
  </si>
  <si>
    <t>AMORTIGUAMIENTO EFECTIVO</t>
  </si>
  <si>
    <t>A. Residual</t>
  </si>
  <si>
    <r>
      <t xml:space="preserve">A. </t>
    </r>
    <r>
      <rPr>
        <b/>
        <sz val="12"/>
        <color theme="1"/>
        <rFont val="Arial"/>
        <family val="2"/>
      </rPr>
      <t>β</t>
    </r>
    <r>
      <rPr>
        <b/>
        <sz val="10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>E</t>
    </r>
  </si>
  <si>
    <t>Periodo efectivo del Modo Fundamental [seg]</t>
  </si>
  <si>
    <t>PERIODO EFECTIVO</t>
  </si>
  <si>
    <t>demanda efectiva de la ductibilidad debido a los movimientos del suelo del sismo de diseno</t>
  </si>
  <si>
    <t>COEFICIENTES DE AMORTIGUAMIENTO</t>
  </si>
  <si>
    <t>CORTANTE SISMICA DE BASE</t>
  </si>
  <si>
    <t>COEFICIENTES DE RESPUESTA SISMICA</t>
  </si>
  <si>
    <t>CORTANTE SISMICA DE BASE MINIMA</t>
  </si>
  <si>
    <t xml:space="preserve">CORTANTE SISMICA DE BASE </t>
  </si>
  <si>
    <t>RESPUESTAS DE DESPLAZAMIENTO</t>
  </si>
  <si>
    <t>SISMO DE DISEÑO</t>
  </si>
  <si>
    <t>SISMO MAXIMO CONSIDERADO</t>
  </si>
  <si>
    <t>COMPROBACION DE LAS DUCTILIDADES ASUMIDAS</t>
  </si>
  <si>
    <t>RAZON DE DERIVA DEL SISMO DE DISEÑO</t>
  </si>
  <si>
    <t>Razón de Derivas  de Piso - Sismo de diseño</t>
  </si>
  <si>
    <t>Razon de deriva</t>
  </si>
  <si>
    <t>μD Asumido:</t>
  </si>
  <si>
    <t>μM Asumido:</t>
  </si>
  <si>
    <t>μM Calculado:</t>
  </si>
  <si>
    <t>μD Calculado:</t>
  </si>
  <si>
    <t>RESPUESTA DE LOS DISIPADORES</t>
  </si>
  <si>
    <t>ESPECIFICACIONES DE LOS DISIPADORES</t>
  </si>
  <si>
    <t>UNIVERSIDAD DE CUENCA</t>
  </si>
  <si>
    <t>FACULTAD DE INGENIERÍA</t>
  </si>
  <si>
    <t>ESCUELA DE INGENIERÍA CIVIL</t>
  </si>
  <si>
    <t>“DISEÑO DE ESTRUCTURAS DE ACERO CON DISIPADORES VISCOELÁSTICOS”</t>
  </si>
  <si>
    <t>Trabajo de Titulación, previo a la obtención del título de Ingeniero Civil</t>
  </si>
  <si>
    <t>AUTORES:</t>
  </si>
  <si>
    <t>Christian Ricardo Gavilanes Sarmiento</t>
  </si>
  <si>
    <t>CI: 0104040738</t>
  </si>
  <si>
    <t>Christian Xavier Pulgarín Guerrero</t>
  </si>
  <si>
    <t>CI: 0105308555</t>
  </si>
  <si>
    <t>DIRECTOR:</t>
  </si>
  <si>
    <t>Ing. Francisco Flores Solano, PhD</t>
  </si>
  <si>
    <t>CI: 0301547410</t>
  </si>
  <si>
    <t>Cuenca – Ecuador</t>
  </si>
  <si>
    <t>Abril,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</si>
</sst>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7" formatCode="0.00000"/>
    <numFmt numFmtId="168" formatCode="#,##0.000"/>
    <numFmt numFmtId="169" formatCode="0.0"/>
    <numFmt numFmtId="170" formatCode="#,##0.0"/>
    <numFmt numFmtId="173" formatCode="0.0%"/>
    <numFmt numFmtId="174" formatCode="0.000000000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GreekC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2060"/>
      <name val="Arial"/>
      <family val="2"/>
    </font>
    <font>
      <sz val="8"/>
      <color rgb="FF000000"/>
      <name val="Arial"/>
      <family val="2"/>
    </font>
    <font>
      <sz val="10"/>
      <color theme="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color rgb="FF00206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206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971">
    <xf numFmtId="0" fontId="0" fillId="0" borderId="0" xfId="0"/>
    <xf numFmtId="0" fontId="0" fillId="2" borderId="0" xfId="0" applyFill="1" applyProtection="1">
      <protection hidden="1"/>
    </xf>
    <xf numFmtId="0" fontId="0" fillId="2" borderId="28" xfId="0" applyFill="1" applyBorder="1" applyProtection="1">
      <protection hidden="1"/>
    </xf>
    <xf numFmtId="0" fontId="0" fillId="2" borderId="0" xfId="0" applyFill="1" applyBorder="1" applyProtection="1">
      <protection hidden="1"/>
    </xf>
    <xf numFmtId="164" fontId="0" fillId="2" borderId="28" xfId="0" applyNumberFormat="1" applyFill="1" applyBorder="1" applyProtection="1"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1" fillId="2" borderId="27" xfId="0" applyFont="1" applyFill="1" applyBorder="1" applyAlignment="1" applyProtection="1">
      <alignment horizontal="left" indent="1"/>
      <protection hidden="1"/>
    </xf>
    <xf numFmtId="0" fontId="0" fillId="2" borderId="18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indent="1"/>
      <protection hidden="1"/>
    </xf>
    <xf numFmtId="0" fontId="0" fillId="2" borderId="0" xfId="0" applyFill="1" applyBorder="1" applyAlignment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0" fillId="2" borderId="32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10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Protection="1">
      <protection hidden="1"/>
    </xf>
    <xf numFmtId="164" fontId="0" fillId="2" borderId="11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/>
      <protection hidden="1"/>
    </xf>
    <xf numFmtId="2" fontId="0" fillId="2" borderId="8" xfId="0" applyNumberFormat="1" applyFill="1" applyBorder="1" applyProtection="1">
      <protection hidden="1"/>
    </xf>
    <xf numFmtId="2" fontId="0" fillId="2" borderId="0" xfId="0" applyNumberFormat="1" applyFill="1" applyBorder="1" applyProtection="1">
      <protection hidden="1"/>
    </xf>
    <xf numFmtId="2" fontId="0" fillId="2" borderId="13" xfId="0" applyNumberFormat="1" applyFill="1" applyBorder="1" applyProtection="1">
      <protection hidden="1"/>
    </xf>
    <xf numFmtId="2" fontId="0" fillId="4" borderId="19" xfId="0" applyNumberFormat="1" applyFill="1" applyBorder="1" applyProtection="1">
      <protection hidden="1"/>
    </xf>
    <xf numFmtId="2" fontId="0" fillId="4" borderId="14" xfId="0" applyNumberFormat="1" applyFill="1" applyBorder="1" applyProtection="1">
      <protection hidden="1"/>
    </xf>
    <xf numFmtId="2" fontId="0" fillId="4" borderId="15" xfId="0" applyNumberFormat="1" applyFill="1" applyBorder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33" xfId="0" applyFill="1" applyBorder="1" applyProtection="1">
      <protection hidden="1"/>
    </xf>
    <xf numFmtId="0" fontId="11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Border="1" applyProtection="1">
      <protection hidden="1"/>
    </xf>
    <xf numFmtId="0" fontId="11" fillId="2" borderId="28" xfId="0" applyFont="1" applyFill="1" applyBorder="1" applyProtection="1">
      <protection hidden="1"/>
    </xf>
    <xf numFmtId="0" fontId="13" fillId="2" borderId="28" xfId="0" applyFont="1" applyFill="1" applyBorder="1" applyAlignment="1" applyProtection="1">
      <alignment horizontal="center"/>
      <protection hidden="1"/>
    </xf>
    <xf numFmtId="0" fontId="11" fillId="2" borderId="28" xfId="0" applyFont="1" applyFill="1" applyBorder="1" applyAlignment="1" applyProtection="1">
      <alignment horizontal="center"/>
      <protection hidden="1"/>
    </xf>
    <xf numFmtId="164" fontId="11" fillId="2" borderId="28" xfId="0" applyNumberFormat="1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4" fontId="0" fillId="2" borderId="11" xfId="0" applyNumberFormat="1" applyFill="1" applyBorder="1" applyAlignment="1" applyProtection="1">
      <alignment horizontal="center"/>
      <protection hidden="1"/>
    </xf>
    <xf numFmtId="0" fontId="0" fillId="2" borderId="38" xfId="0" applyFill="1" applyBorder="1" applyProtection="1"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2" fontId="0" fillId="2" borderId="0" xfId="0" applyNumberFormat="1" applyFill="1" applyBorder="1" applyAlignment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0" fillId="2" borderId="17" xfId="0" applyNumberFormat="1" applyFill="1" applyBorder="1" applyAlignment="1" applyProtection="1">
      <protection hidden="1"/>
    </xf>
    <xf numFmtId="164" fontId="0" fillId="2" borderId="0" xfId="0" applyNumberFormat="1" applyFill="1" applyBorder="1" applyAlignment="1" applyProtection="1">
      <alignment horizontal="right"/>
      <protection hidden="1"/>
    </xf>
    <xf numFmtId="0" fontId="0" fillId="2" borderId="17" xfId="0" applyFont="1" applyFill="1" applyBorder="1" applyProtection="1">
      <protection hidden="1"/>
    </xf>
    <xf numFmtId="2" fontId="0" fillId="2" borderId="0" xfId="0" applyNumberForma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0" fillId="2" borderId="44" xfId="0" applyFill="1" applyBorder="1" applyProtection="1">
      <protection hidden="1"/>
    </xf>
    <xf numFmtId="0" fontId="0" fillId="2" borderId="40" xfId="0" applyFill="1" applyBorder="1" applyProtection="1">
      <protection hidden="1"/>
    </xf>
    <xf numFmtId="2" fontId="0" fillId="2" borderId="6" xfId="0" applyNumberFormat="1" applyFill="1" applyBorder="1" applyAlignment="1" applyProtection="1">
      <protection hidden="1"/>
    </xf>
    <xf numFmtId="0" fontId="0" fillId="2" borderId="15" xfId="0" applyFill="1" applyBorder="1"/>
    <xf numFmtId="0" fontId="0" fillId="2" borderId="8" xfId="0" applyFont="1" applyFill="1" applyBorder="1" applyProtection="1"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169" fontId="0" fillId="2" borderId="0" xfId="0" applyNumberFormat="1" applyFont="1" applyFill="1" applyBorder="1" applyAlignment="1" applyProtection="1">
      <alignment horizontal="center"/>
      <protection hidden="1"/>
    </xf>
    <xf numFmtId="0" fontId="0" fillId="2" borderId="17" xfId="0" applyFont="1" applyFill="1" applyBorder="1" applyAlignment="1" applyProtection="1">
      <alignment horizontal="center" vertical="center"/>
      <protection hidden="1"/>
    </xf>
    <xf numFmtId="2" fontId="0" fillId="2" borderId="0" xfId="0" applyNumberFormat="1" applyFill="1" applyBorder="1" applyAlignment="1" applyProtection="1">
      <alignment horizontal="right" indent="4"/>
      <protection hidden="1"/>
    </xf>
    <xf numFmtId="0" fontId="0" fillId="2" borderId="11" xfId="0" applyFont="1" applyFill="1" applyBorder="1" applyProtection="1">
      <protection hidden="1"/>
    </xf>
    <xf numFmtId="0" fontId="0" fillId="2" borderId="6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10" xfId="0" applyFont="1" applyFill="1" applyBorder="1" applyProtection="1">
      <protection hidden="1"/>
    </xf>
    <xf numFmtId="0" fontId="0" fillId="2" borderId="12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164" fontId="0" fillId="2" borderId="11" xfId="0" applyNumberFormat="1" applyFill="1" applyBorder="1" applyAlignment="1" applyProtection="1">
      <alignment horizontal="right"/>
      <protection hidden="1"/>
    </xf>
    <xf numFmtId="0" fontId="0" fillId="2" borderId="42" xfId="0" applyFill="1" applyBorder="1" applyProtection="1"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0" fillId="2" borderId="17" xfId="0" applyFont="1" applyFill="1" applyBorder="1" applyAlignment="1" applyProtection="1">
      <alignment horizontal="center"/>
      <protection hidden="1"/>
    </xf>
    <xf numFmtId="2" fontId="0" fillId="2" borderId="0" xfId="0" applyNumberFormat="1" applyFill="1" applyBorder="1" applyAlignment="1" applyProtection="1">
      <alignment horizontal="center" vertical="center"/>
      <protection hidden="1"/>
    </xf>
    <xf numFmtId="2" fontId="0" fillId="2" borderId="17" xfId="0" applyNumberForma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left"/>
      <protection hidden="1"/>
    </xf>
    <xf numFmtId="164" fontId="0" fillId="2" borderId="46" xfId="0" applyNumberFormat="1" applyFill="1" applyBorder="1" applyAlignment="1" applyProtection="1">
      <protection hidden="1"/>
    </xf>
    <xf numFmtId="164" fontId="0" fillId="2" borderId="7" xfId="0" applyNumberFormat="1" applyFill="1" applyBorder="1" applyAlignment="1" applyProtection="1">
      <protection hidden="1"/>
    </xf>
    <xf numFmtId="164" fontId="0" fillId="2" borderId="27" xfId="0" applyNumberFormat="1" applyFill="1" applyBorder="1" applyAlignment="1" applyProtection="1">
      <protection hidden="1"/>
    </xf>
    <xf numFmtId="164" fontId="0" fillId="2" borderId="38" xfId="0" applyNumberFormat="1" applyFill="1" applyBorder="1" applyAlignment="1" applyProtection="1">
      <protection hidden="1"/>
    </xf>
    <xf numFmtId="164" fontId="0" fillId="2" borderId="47" xfId="0" applyNumberFormat="1" applyFill="1" applyBorder="1" applyAlignment="1" applyProtection="1">
      <protection hidden="1"/>
    </xf>
    <xf numFmtId="164" fontId="0" fillId="2" borderId="12" xfId="0" applyNumberForma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right" indent="1"/>
      <protection hidden="1"/>
    </xf>
    <xf numFmtId="170" fontId="0" fillId="2" borderId="32" xfId="0" applyNumberFormat="1" applyFill="1" applyBorder="1" applyAlignment="1" applyProtection="1">
      <alignment horizontal="right" indent="1"/>
      <protection hidden="1"/>
    </xf>
    <xf numFmtId="170" fontId="0" fillId="2" borderId="29" xfId="0" applyNumberFormat="1" applyFill="1" applyBorder="1" applyAlignment="1" applyProtection="1">
      <alignment horizontal="right" indent="1"/>
      <protection hidden="1"/>
    </xf>
    <xf numFmtId="0" fontId="0" fillId="0" borderId="9" xfId="0" applyBorder="1" applyProtection="1">
      <protection hidden="1"/>
    </xf>
    <xf numFmtId="0" fontId="10" fillId="2" borderId="11" xfId="0" applyFont="1" applyFill="1" applyBorder="1" applyProtection="1">
      <protection hidden="1"/>
    </xf>
    <xf numFmtId="2" fontId="0" fillId="2" borderId="11" xfId="0" applyNumberFormat="1" applyFill="1" applyBorder="1" applyProtection="1">
      <protection hidden="1"/>
    </xf>
    <xf numFmtId="0" fontId="0" fillId="2" borderId="37" xfId="0" applyFill="1" applyBorder="1" applyAlignment="1" applyProtection="1">
      <alignment horizontal="left"/>
      <protection hidden="1"/>
    </xf>
    <xf numFmtId="0" fontId="0" fillId="2" borderId="18" xfId="0" applyFill="1" applyBorder="1" applyAlignment="1" applyProtection="1">
      <alignment horizontal="left"/>
      <protection hidden="1"/>
    </xf>
    <xf numFmtId="0" fontId="0" fillId="2" borderId="26" xfId="0" applyFill="1" applyBorder="1" applyAlignment="1" applyProtection="1">
      <alignment horizontal="left"/>
      <protection hidden="1"/>
    </xf>
    <xf numFmtId="0" fontId="0" fillId="2" borderId="5" xfId="0" applyFont="1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164" fontId="0" fillId="2" borderId="6" xfId="0" applyNumberFormat="1" applyFill="1" applyBorder="1" applyAlignment="1" applyProtection="1">
      <alignment horizontal="right"/>
      <protection hidden="1"/>
    </xf>
    <xf numFmtId="0" fontId="0" fillId="2" borderId="7" xfId="0" applyFont="1" applyFill="1" applyBorder="1" applyProtection="1"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40" xfId="0" applyFill="1" applyBorder="1" applyAlignment="1" applyProtection="1">
      <alignment vertical="center"/>
      <protection hidden="1"/>
    </xf>
    <xf numFmtId="2" fontId="0" fillId="2" borderId="27" xfId="0" applyNumberFormat="1" applyFill="1" applyBorder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7" xfId="0" applyFill="1" applyBorder="1" applyAlignment="1" applyProtection="1">
      <protection hidden="1"/>
    </xf>
    <xf numFmtId="0" fontId="0" fillId="2" borderId="16" xfId="0" applyFill="1" applyBorder="1" applyAlignment="1" applyProtection="1">
      <protection hidden="1"/>
    </xf>
    <xf numFmtId="0" fontId="0" fillId="2" borderId="40" xfId="0" applyFill="1" applyBorder="1" applyAlignment="1" applyProtection="1">
      <protection hidden="1"/>
    </xf>
    <xf numFmtId="0" fontId="0" fillId="2" borderId="52" xfId="0" applyFill="1" applyBorder="1" applyAlignment="1" applyProtection="1">
      <protection hidden="1"/>
    </xf>
    <xf numFmtId="0" fontId="0" fillId="2" borderId="42" xfId="0" applyFill="1" applyBorder="1" applyAlignment="1" applyProtection="1">
      <protection hidden="1"/>
    </xf>
    <xf numFmtId="0" fontId="0" fillId="2" borderId="17" xfId="0" applyFill="1" applyBorder="1" applyAlignment="1" applyProtection="1">
      <alignment horizontal="left" indent="1"/>
      <protection hidden="1"/>
    </xf>
    <xf numFmtId="0" fontId="0" fillId="2" borderId="44" xfId="0" applyFill="1" applyBorder="1" applyAlignment="1" applyProtection="1">
      <alignment horizontal="left" indent="1"/>
      <protection hidden="1"/>
    </xf>
    <xf numFmtId="169" fontId="0" fillId="2" borderId="25" xfId="0" applyNumberFormat="1" applyFont="1" applyFill="1" applyBorder="1" applyAlignment="1" applyProtection="1">
      <alignment horizontal="right" vertical="center" wrapText="1" indent="1"/>
      <protection hidden="1"/>
    </xf>
    <xf numFmtId="170" fontId="0" fillId="2" borderId="45" xfId="0" applyNumberFormat="1" applyFont="1" applyFill="1" applyBorder="1" applyAlignment="1" applyProtection="1">
      <alignment horizontal="right" indent="1"/>
      <protection hidden="1"/>
    </xf>
    <xf numFmtId="0" fontId="0" fillId="2" borderId="38" xfId="0" applyFill="1" applyBorder="1" applyAlignment="1" applyProtection="1">
      <protection hidden="1"/>
    </xf>
    <xf numFmtId="169" fontId="0" fillId="2" borderId="29" xfId="0" applyNumberFormat="1" applyFont="1" applyFill="1" applyBorder="1" applyAlignment="1" applyProtection="1">
      <alignment horizontal="right" vertical="center" wrapText="1" indent="1"/>
      <protection hidden="1"/>
    </xf>
    <xf numFmtId="170" fontId="0" fillId="2" borderId="32" xfId="0" applyNumberFormat="1" applyFont="1" applyFill="1" applyBorder="1" applyAlignment="1" applyProtection="1">
      <alignment horizontal="right" indent="1"/>
      <protection hidden="1"/>
    </xf>
    <xf numFmtId="0" fontId="0" fillId="2" borderId="4" xfId="0" applyFill="1" applyBorder="1" applyProtection="1">
      <protection hidden="1"/>
    </xf>
    <xf numFmtId="169" fontId="0" fillId="2" borderId="27" xfId="0" applyNumberFormat="1" applyFill="1" applyBorder="1" applyAlignment="1" applyProtection="1">
      <protection hidden="1"/>
    </xf>
    <xf numFmtId="0" fontId="0" fillId="2" borderId="12" xfId="0" applyFont="1" applyFill="1" applyBorder="1" applyAlignment="1" applyProtection="1">
      <protection hidden="1"/>
    </xf>
    <xf numFmtId="0" fontId="0" fillId="2" borderId="17" xfId="0" applyFill="1" applyBorder="1" applyProtection="1"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center" vertical="center"/>
      <protection hidden="1"/>
    </xf>
    <xf numFmtId="0" fontId="19" fillId="2" borderId="17" xfId="0" applyFont="1" applyFill="1" applyBorder="1" applyAlignment="1" applyProtection="1">
      <alignment horizontal="center"/>
      <protection hidden="1"/>
    </xf>
    <xf numFmtId="0" fontId="0" fillId="2" borderId="35" xfId="0" applyFill="1" applyBorder="1" applyProtection="1">
      <protection hidden="1"/>
    </xf>
    <xf numFmtId="0" fontId="28" fillId="2" borderId="0" xfId="0" applyFont="1" applyFill="1" applyBorder="1" applyAlignment="1" applyProtection="1">
      <alignment horizontal="right" vertical="center" indent="1"/>
      <protection hidden="1"/>
    </xf>
    <xf numFmtId="164" fontId="0" fillId="2" borderId="0" xfId="0" applyNumberFormat="1" applyFill="1" applyBorder="1" applyAlignment="1" applyProtection="1">
      <protection hidden="1"/>
    </xf>
    <xf numFmtId="2" fontId="0" fillId="2" borderId="16" xfId="0" applyNumberFormat="1" applyFill="1" applyBorder="1" applyAlignment="1" applyProtection="1">
      <protection hidden="1"/>
    </xf>
    <xf numFmtId="164" fontId="0" fillId="2" borderId="16" xfId="0" applyNumberFormat="1" applyFill="1" applyBorder="1" applyAlignment="1" applyProtection="1">
      <protection hidden="1"/>
    </xf>
    <xf numFmtId="164" fontId="0" fillId="2" borderId="17" xfId="0" applyNumberFormat="1" applyFill="1" applyBorder="1" applyAlignment="1" applyProtection="1">
      <protection hidden="1"/>
    </xf>
    <xf numFmtId="0" fontId="1" fillId="2" borderId="16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" fillId="2" borderId="17" xfId="0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Border="1" applyProtection="1">
      <protection hidden="1"/>
    </xf>
    <xf numFmtId="0" fontId="18" fillId="2" borderId="17" xfId="0" applyFont="1" applyFill="1" applyBorder="1" applyProtection="1">
      <protection hidden="1"/>
    </xf>
    <xf numFmtId="164" fontId="18" fillId="2" borderId="0" xfId="0" applyNumberFormat="1" applyFont="1" applyFill="1" applyBorder="1" applyProtection="1">
      <protection hidden="1"/>
    </xf>
    <xf numFmtId="0" fontId="18" fillId="2" borderId="16" xfId="0" applyFont="1" applyFill="1" applyBorder="1" applyProtection="1">
      <protection hidden="1"/>
    </xf>
    <xf numFmtId="164" fontId="31" fillId="2" borderId="17" xfId="0" applyNumberFormat="1" applyFont="1" applyFill="1" applyBorder="1" applyProtection="1">
      <protection hidden="1"/>
    </xf>
    <xf numFmtId="0" fontId="31" fillId="2" borderId="17" xfId="0" applyFont="1" applyFill="1" applyBorder="1" applyProtection="1">
      <protection hidden="1"/>
    </xf>
    <xf numFmtId="164" fontId="18" fillId="2" borderId="16" xfId="0" applyNumberFormat="1" applyFont="1" applyFill="1" applyBorder="1" applyProtection="1">
      <protection hidden="1"/>
    </xf>
    <xf numFmtId="0" fontId="18" fillId="2" borderId="0" xfId="0" applyFont="1" applyFill="1" applyBorder="1" applyAlignment="1" applyProtection="1">
      <protection hidden="1"/>
    </xf>
    <xf numFmtId="164" fontId="18" fillId="2" borderId="0" xfId="0" applyNumberFormat="1" applyFont="1" applyFill="1" applyBorder="1" applyAlignment="1" applyProtection="1">
      <alignment horizontal="right"/>
      <protection hidden="1"/>
    </xf>
    <xf numFmtId="0" fontId="18" fillId="2" borderId="0" xfId="0" applyFont="1" applyFill="1" applyBorder="1" applyAlignment="1" applyProtection="1">
      <alignment horizontal="left" vertical="center" indent="1"/>
      <protection hidden="1"/>
    </xf>
    <xf numFmtId="0" fontId="18" fillId="2" borderId="17" xfId="0" applyFont="1" applyFill="1" applyBorder="1" applyAlignment="1" applyProtection="1">
      <alignment vertical="center"/>
      <protection hidden="1"/>
    </xf>
    <xf numFmtId="0" fontId="18" fillId="2" borderId="16" xfId="0" applyFont="1" applyFill="1" applyBorder="1" applyAlignment="1" applyProtection="1">
      <alignment horizontal="center"/>
      <protection hidden="1"/>
    </xf>
    <xf numFmtId="3" fontId="18" fillId="2" borderId="16" xfId="0" applyNumberFormat="1" applyFont="1" applyFill="1" applyBorder="1" applyProtection="1">
      <protection hidden="1"/>
    </xf>
    <xf numFmtId="3" fontId="18" fillId="2" borderId="17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164" fontId="18" fillId="2" borderId="17" xfId="0" applyNumberFormat="1" applyFont="1" applyFill="1" applyBorder="1" applyAlignment="1" applyProtection="1">
      <alignment horizontal="right"/>
      <protection hidden="1"/>
    </xf>
    <xf numFmtId="0" fontId="33" fillId="2" borderId="17" xfId="0" applyFont="1" applyFill="1" applyBorder="1" applyProtection="1">
      <protection hidden="1"/>
    </xf>
    <xf numFmtId="0" fontId="19" fillId="2" borderId="17" xfId="0" applyFont="1" applyFill="1" applyBorder="1" applyAlignment="1" applyProtection="1">
      <alignment horizontal="left" vertical="center" indent="1"/>
      <protection hidden="1"/>
    </xf>
    <xf numFmtId="0" fontId="19" fillId="2" borderId="17" xfId="0" applyFont="1" applyFill="1" applyBorder="1" applyAlignment="1" applyProtection="1">
      <alignment horizontal="left" indent="1"/>
      <protection hidden="1"/>
    </xf>
    <xf numFmtId="0" fontId="18" fillId="2" borderId="0" xfId="0" applyFont="1" applyFill="1" applyBorder="1" applyAlignment="1" applyProtection="1">
      <alignment horizontal="left"/>
      <protection hidden="1"/>
    </xf>
    <xf numFmtId="0" fontId="18" fillId="2" borderId="16" xfId="0" applyFont="1" applyFill="1" applyBorder="1" applyAlignment="1" applyProtection="1">
      <protection hidden="1"/>
    </xf>
    <xf numFmtId="0" fontId="18" fillId="2" borderId="17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protection hidden="1"/>
    </xf>
    <xf numFmtId="3" fontId="18" fillId="2" borderId="16" xfId="0" applyNumberFormat="1" applyFont="1" applyFill="1" applyBorder="1" applyAlignment="1" applyProtection="1">
      <alignment horizontal="right" indent="2"/>
      <protection hidden="1"/>
    </xf>
    <xf numFmtId="1" fontId="18" fillId="2" borderId="16" xfId="0" applyNumberFormat="1" applyFont="1" applyFill="1" applyBorder="1" applyAlignment="1" applyProtection="1">
      <alignment horizontal="center" vertical="center"/>
      <protection hidden="1"/>
    </xf>
    <xf numFmtId="2" fontId="18" fillId="2" borderId="16" xfId="0" applyNumberFormat="1" applyFont="1" applyFill="1" applyBorder="1" applyAlignment="1" applyProtection="1">
      <alignment horizontal="center"/>
      <protection hidden="1"/>
    </xf>
    <xf numFmtId="164" fontId="18" fillId="2" borderId="16" xfId="0" applyNumberFormat="1" applyFont="1" applyFill="1" applyBorder="1" applyAlignment="1" applyProtection="1">
      <alignment horizontal="center"/>
      <protection hidden="1"/>
    </xf>
    <xf numFmtId="3" fontId="18" fillId="2" borderId="0" xfId="0" applyNumberFormat="1" applyFont="1" applyFill="1" applyBorder="1" applyAlignment="1" applyProtection="1">
      <alignment horizontal="right" indent="2"/>
      <protection hidden="1"/>
    </xf>
    <xf numFmtId="1" fontId="18" fillId="2" borderId="0" xfId="0" applyNumberFormat="1" applyFont="1" applyFill="1" applyBorder="1" applyAlignment="1" applyProtection="1">
      <alignment horizontal="center" vertical="center"/>
      <protection hidden="1"/>
    </xf>
    <xf numFmtId="2" fontId="18" fillId="2" borderId="0" xfId="0" applyNumberFormat="1" applyFont="1" applyFill="1" applyBorder="1" applyAlignment="1" applyProtection="1">
      <alignment horizontal="center"/>
      <protection hidden="1"/>
    </xf>
    <xf numFmtId="164" fontId="18" fillId="2" borderId="0" xfId="0" applyNumberFormat="1" applyFont="1" applyFill="1" applyBorder="1" applyAlignment="1" applyProtection="1">
      <alignment horizontal="center"/>
      <protection hidden="1"/>
    </xf>
    <xf numFmtId="1" fontId="18" fillId="2" borderId="0" xfId="0" applyNumberFormat="1" applyFont="1" applyFill="1" applyBorder="1" applyAlignment="1" applyProtection="1">
      <alignment horizontal="center"/>
      <protection hidden="1"/>
    </xf>
    <xf numFmtId="168" fontId="18" fillId="2" borderId="0" xfId="0" applyNumberFormat="1" applyFont="1" applyFill="1" applyBorder="1" applyAlignment="1" applyProtection="1">
      <alignment horizontal="center"/>
      <protection hidden="1"/>
    </xf>
    <xf numFmtId="0" fontId="18" fillId="2" borderId="18" xfId="0" applyFont="1" applyFill="1" applyBorder="1" applyAlignment="1" applyProtection="1">
      <alignment horizontal="center"/>
      <protection hidden="1"/>
    </xf>
    <xf numFmtId="1" fontId="18" fillId="2" borderId="18" xfId="0" applyNumberFormat="1" applyFont="1" applyFill="1" applyBorder="1" applyAlignment="1" applyProtection="1">
      <alignment horizontal="right" indent="2"/>
      <protection hidden="1"/>
    </xf>
    <xf numFmtId="168" fontId="18" fillId="2" borderId="18" xfId="0" applyNumberFormat="1" applyFont="1" applyFill="1" applyBorder="1" applyAlignment="1" applyProtection="1">
      <alignment horizontal="center"/>
      <protection hidden="1"/>
    </xf>
    <xf numFmtId="2" fontId="31" fillId="2" borderId="0" xfId="0" applyNumberFormat="1" applyFont="1" applyFill="1" applyBorder="1" applyAlignment="1" applyProtection="1">
      <alignment horizontal="center"/>
      <protection hidden="1"/>
    </xf>
    <xf numFmtId="2" fontId="18" fillId="2" borderId="17" xfId="0" applyNumberFormat="1" applyFont="1" applyFill="1" applyBorder="1" applyAlignment="1" applyProtection="1">
      <alignment horizontal="center"/>
      <protection hidden="1"/>
    </xf>
    <xf numFmtId="165" fontId="18" fillId="2" borderId="0" xfId="0" applyNumberFormat="1" applyFont="1" applyFill="1" applyBorder="1" applyAlignment="1" applyProtection="1">
      <alignment horizontal="center"/>
      <protection hidden="1"/>
    </xf>
    <xf numFmtId="165" fontId="18" fillId="2" borderId="17" xfId="0" applyNumberFormat="1" applyFont="1" applyFill="1" applyBorder="1" applyAlignment="1" applyProtection="1">
      <alignment horizontal="center"/>
      <protection hidden="1"/>
    </xf>
    <xf numFmtId="165" fontId="18" fillId="2" borderId="16" xfId="0" applyNumberFormat="1" applyFont="1" applyFill="1" applyBorder="1" applyAlignment="1" applyProtection="1">
      <alignment horizontal="center"/>
      <protection hidden="1"/>
    </xf>
    <xf numFmtId="0" fontId="19" fillId="2" borderId="17" xfId="0" applyFont="1" applyFill="1" applyBorder="1" applyAlignment="1" applyProtection="1">
      <alignment vertical="center"/>
      <protection hidden="1"/>
    </xf>
    <xf numFmtId="0" fontId="19" fillId="2" borderId="16" xfId="0" applyFont="1" applyFill="1" applyBorder="1" applyAlignment="1" applyProtection="1">
      <protection hidden="1"/>
    </xf>
    <xf numFmtId="2" fontId="31" fillId="2" borderId="16" xfId="0" applyNumberFormat="1" applyFont="1" applyFill="1" applyBorder="1" applyAlignment="1" applyProtection="1">
      <alignment horizontal="center"/>
      <protection hidden="1"/>
    </xf>
    <xf numFmtId="2" fontId="31" fillId="2" borderId="17" xfId="0" applyNumberFormat="1" applyFont="1" applyFill="1" applyBorder="1" applyAlignment="1" applyProtection="1">
      <alignment horizontal="center"/>
      <protection hidden="1"/>
    </xf>
    <xf numFmtId="0" fontId="0" fillId="2" borderId="16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right" vertical="center" indent="1"/>
      <protection hidden="1"/>
    </xf>
    <xf numFmtId="0" fontId="37" fillId="2" borderId="0" xfId="0" applyFont="1" applyFill="1" applyBorder="1" applyAlignment="1" applyProtection="1">
      <alignment horizontal="right" vertical="center" indent="1"/>
      <protection hidden="1"/>
    </xf>
    <xf numFmtId="49" fontId="37" fillId="2" borderId="0" xfId="0" applyNumberFormat="1" applyFont="1" applyFill="1" applyBorder="1" applyAlignment="1" applyProtection="1">
      <alignment horizontal="left" vertical="center" indent="1"/>
      <protection hidden="1"/>
    </xf>
    <xf numFmtId="49" fontId="37" fillId="2" borderId="17" xfId="0" applyNumberFormat="1" applyFont="1" applyFill="1" applyBorder="1" applyAlignment="1" applyProtection="1">
      <alignment horizontal="left" vertical="center" indent="1"/>
      <protection hidden="1"/>
    </xf>
    <xf numFmtId="0" fontId="37" fillId="2" borderId="0" xfId="0" applyFont="1" applyFill="1" applyBorder="1" applyAlignment="1" applyProtection="1">
      <alignment horizontal="left" indent="1"/>
      <protection hidden="1"/>
    </xf>
    <xf numFmtId="0" fontId="37" fillId="2" borderId="17" xfId="0" applyFont="1" applyFill="1" applyBorder="1" applyAlignment="1" applyProtection="1">
      <alignment horizontal="left" indent="1"/>
      <protection hidden="1"/>
    </xf>
    <xf numFmtId="2" fontId="18" fillId="2" borderId="0" xfId="0" applyNumberFormat="1" applyFont="1" applyFill="1" applyBorder="1" applyProtection="1">
      <protection hidden="1"/>
    </xf>
    <xf numFmtId="0" fontId="18" fillId="2" borderId="17" xfId="0" applyFont="1" applyFill="1" applyBorder="1" applyAlignment="1" applyProtection="1">
      <alignment horizontal="right" vertical="center" indent="1"/>
      <protection hidden="1"/>
    </xf>
    <xf numFmtId="0" fontId="19" fillId="2" borderId="16" xfId="0" applyFont="1" applyFill="1" applyBorder="1" applyAlignment="1" applyProtection="1">
      <alignment horizontal="right" vertical="center" indent="1"/>
      <protection hidden="1"/>
    </xf>
    <xf numFmtId="0" fontId="19" fillId="2" borderId="17" xfId="0" applyFont="1" applyFill="1" applyBorder="1" applyAlignment="1" applyProtection="1">
      <alignment horizontal="right" vertical="center" indent="1"/>
      <protection hidden="1"/>
    </xf>
    <xf numFmtId="0" fontId="37" fillId="2" borderId="0" xfId="0" applyFont="1" applyFill="1" applyBorder="1" applyAlignment="1" applyProtection="1">
      <protection hidden="1"/>
    </xf>
    <xf numFmtId="49" fontId="37" fillId="2" borderId="17" xfId="0" applyNumberFormat="1" applyFont="1" applyFill="1" applyBorder="1" applyAlignment="1" applyProtection="1"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left" indent="1"/>
      <protection hidden="1"/>
    </xf>
    <xf numFmtId="3" fontId="31" fillId="2" borderId="0" xfId="0" applyNumberFormat="1" applyFont="1" applyFill="1" applyBorder="1" applyProtection="1">
      <protection hidden="1"/>
    </xf>
    <xf numFmtId="0" fontId="31" fillId="2" borderId="0" xfId="0" applyFont="1" applyFill="1" applyBorder="1" applyProtection="1">
      <protection hidden="1"/>
    </xf>
    <xf numFmtId="0" fontId="37" fillId="2" borderId="0" xfId="0" applyFont="1" applyFill="1" applyBorder="1" applyAlignment="1" applyProtection="1">
      <alignment horizontal="left" vertical="center" indent="1"/>
      <protection hidden="1"/>
    </xf>
    <xf numFmtId="0" fontId="39" fillId="2" borderId="17" xfId="0" applyFont="1" applyFill="1" applyBorder="1" applyAlignment="1" applyProtection="1">
      <alignment horizontal="left" indent="1"/>
      <protection hidden="1"/>
    </xf>
    <xf numFmtId="49" fontId="37" fillId="2" borderId="0" xfId="0" applyNumberFormat="1" applyFont="1" applyFill="1" applyBorder="1" applyAlignment="1" applyProtection="1">
      <protection hidden="1"/>
    </xf>
    <xf numFmtId="0" fontId="19" fillId="2" borderId="0" xfId="0" applyFont="1" applyFill="1" applyBorder="1" applyAlignment="1" applyProtection="1">
      <alignment horizontal="center"/>
      <protection hidden="1"/>
    </xf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170" fontId="31" fillId="2" borderId="0" xfId="0" applyNumberFormat="1" applyFont="1" applyFill="1" applyBorder="1" applyAlignment="1" applyProtection="1">
      <alignment horizontal="center"/>
      <protection hidden="1"/>
    </xf>
    <xf numFmtId="0" fontId="39" fillId="2" borderId="17" xfId="0" applyFont="1" applyFill="1" applyBorder="1" applyAlignment="1" applyProtection="1">
      <alignment vertical="center"/>
      <protection hidden="1"/>
    </xf>
    <xf numFmtId="3" fontId="18" fillId="2" borderId="16" xfId="0" applyNumberFormat="1" applyFont="1" applyFill="1" applyBorder="1" applyAlignment="1" applyProtection="1">
      <alignment horizontal="center"/>
      <protection hidden="1"/>
    </xf>
    <xf numFmtId="3" fontId="18" fillId="2" borderId="0" xfId="0" applyNumberFormat="1" applyFont="1" applyFill="1" applyBorder="1" applyAlignment="1" applyProtection="1">
      <alignment horizontal="center"/>
      <protection hidden="1"/>
    </xf>
    <xf numFmtId="3" fontId="18" fillId="2" borderId="18" xfId="0" applyNumberFormat="1" applyFont="1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left"/>
      <protection hidden="1"/>
    </xf>
    <xf numFmtId="0" fontId="0" fillId="2" borderId="11" xfId="0" applyFont="1" applyFill="1" applyBorder="1" applyAlignment="1" applyProtection="1">
      <alignment horizontal="left"/>
      <protection hidden="1"/>
    </xf>
    <xf numFmtId="0" fontId="19" fillId="2" borderId="18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 applyProtection="1">
      <alignment horizontal="left" indent="1"/>
      <protection hidden="1"/>
    </xf>
    <xf numFmtId="0" fontId="18" fillId="2" borderId="0" xfId="0" applyFont="1" applyFill="1" applyBorder="1" applyAlignment="1" applyProtection="1">
      <alignment horizontal="left" indent="1"/>
      <protection hidden="1"/>
    </xf>
    <xf numFmtId="0" fontId="18" fillId="2" borderId="16" xfId="0" applyFont="1" applyFill="1" applyBorder="1" applyAlignment="1" applyProtection="1">
      <alignment horizontal="left" indent="1"/>
      <protection hidden="1"/>
    </xf>
    <xf numFmtId="0" fontId="19" fillId="2" borderId="18" xfId="0" applyFont="1" applyFill="1" applyBorder="1" applyAlignment="1" applyProtection="1">
      <alignment horizontal="center" vertical="center"/>
      <protection hidden="1"/>
    </xf>
    <xf numFmtId="0" fontId="18" fillId="2" borderId="16" xfId="0" applyFont="1" applyFill="1" applyBorder="1" applyAlignment="1" applyProtection="1">
      <alignment horizontal="left" vertical="center" indent="1"/>
      <protection hidden="1"/>
    </xf>
    <xf numFmtId="0" fontId="18" fillId="2" borderId="17" xfId="0" applyFont="1" applyFill="1" applyBorder="1" applyAlignment="1" applyProtection="1">
      <alignment horizontal="left" vertical="center" indent="1"/>
      <protection hidden="1"/>
    </xf>
    <xf numFmtId="3" fontId="31" fillId="2" borderId="0" xfId="0" applyNumberFormat="1" applyFont="1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19" fillId="2" borderId="17" xfId="0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 wrapText="1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49" fontId="39" fillId="2" borderId="17" xfId="0" applyNumberFormat="1" applyFont="1" applyFill="1" applyBorder="1" applyAlignment="1" applyProtection="1">
      <alignment horizontal="center" wrapText="1"/>
      <protection hidden="1"/>
    </xf>
    <xf numFmtId="3" fontId="31" fillId="2" borderId="16" xfId="0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Border="1" applyAlignment="1" applyProtection="1">
      <alignment horizontal="center"/>
      <protection hidden="1"/>
    </xf>
    <xf numFmtId="0" fontId="18" fillId="2" borderId="17" xfId="0" applyFon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23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 vertical="center" wrapText="1"/>
      <protection hidden="1"/>
    </xf>
    <xf numFmtId="0" fontId="0" fillId="2" borderId="8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0" fillId="2" borderId="11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9" fillId="2" borderId="18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 vertical="center" wrapText="1"/>
      <protection hidden="1"/>
    </xf>
    <xf numFmtId="0" fontId="19" fillId="2" borderId="17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Alignment="1" applyProtection="1">
      <alignment horizontal="center"/>
      <protection hidden="1"/>
    </xf>
    <xf numFmtId="0" fontId="18" fillId="2" borderId="17" xfId="0" applyFont="1" applyFill="1" applyBorder="1" applyAlignment="1" applyProtection="1">
      <alignment horizontal="center"/>
      <protection hidden="1"/>
    </xf>
    <xf numFmtId="0" fontId="1" fillId="8" borderId="5" xfId="0" applyFont="1" applyFill="1" applyBorder="1" applyAlignment="1" applyProtection="1">
      <alignment horizontal="center" vertical="center" wrapText="1"/>
      <protection hidden="1"/>
    </xf>
    <xf numFmtId="0" fontId="1" fillId="8" borderId="7" xfId="0" applyFont="1" applyFill="1" applyBorder="1" applyAlignment="1" applyProtection="1">
      <alignment horizontal="center" vertical="center" wrapText="1"/>
      <protection hidden="1"/>
    </xf>
    <xf numFmtId="0" fontId="1" fillId="8" borderId="10" xfId="0" applyFont="1" applyFill="1" applyBorder="1" applyAlignment="1" applyProtection="1">
      <alignment horizontal="center" vertical="center" wrapText="1"/>
      <protection hidden="1"/>
    </xf>
    <xf numFmtId="0" fontId="1" fillId="8" borderId="12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44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 wrapText="1"/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19" fillId="2" borderId="17" xfId="0" applyFont="1" applyFill="1" applyBorder="1" applyAlignment="1" applyProtection="1">
      <alignment horizontal="center" vertical="center"/>
      <protection hidden="1"/>
    </xf>
    <xf numFmtId="0" fontId="19" fillId="2" borderId="18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16" fillId="2" borderId="18" xfId="0" applyFont="1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hidden="1"/>
    </xf>
    <xf numFmtId="0" fontId="0" fillId="2" borderId="21" xfId="0" applyFill="1" applyBorder="1" applyAlignment="1" applyProtection="1">
      <alignment horizontal="left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left" indent="1"/>
      <protection hidden="1"/>
    </xf>
    <xf numFmtId="0" fontId="18" fillId="2" borderId="0" xfId="0" applyFont="1" applyFill="1" applyBorder="1" applyAlignment="1" applyProtection="1">
      <alignment horizontal="left" indent="1"/>
      <protection hidden="1"/>
    </xf>
    <xf numFmtId="0" fontId="18" fillId="2" borderId="16" xfId="0" applyFont="1" applyFill="1" applyBorder="1" applyAlignment="1" applyProtection="1">
      <alignment horizontal="left" indent="1"/>
      <protection hidden="1"/>
    </xf>
    <xf numFmtId="0" fontId="18" fillId="2" borderId="16" xfId="0" applyFont="1" applyFill="1" applyBorder="1" applyAlignment="1" applyProtection="1">
      <alignment horizontal="left" vertical="center" indent="1"/>
      <protection hidden="1"/>
    </xf>
    <xf numFmtId="0" fontId="18" fillId="2" borderId="17" xfId="0" applyFont="1" applyFill="1" applyBorder="1" applyAlignment="1" applyProtection="1">
      <alignment horizontal="left" vertical="center" indent="1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34" xfId="0" applyFill="1" applyBorder="1" applyAlignment="1" applyProtection="1">
      <alignment horizontal="left"/>
      <protection hidden="1"/>
    </xf>
    <xf numFmtId="0" fontId="0" fillId="2" borderId="35" xfId="0" applyFill="1" applyBorder="1" applyAlignment="1" applyProtection="1">
      <alignment horizontal="left"/>
      <protection hidden="1"/>
    </xf>
    <xf numFmtId="0" fontId="0" fillId="2" borderId="50" xfId="0" applyFill="1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11" xfId="0" applyFont="1" applyFill="1" applyBorder="1" applyAlignment="1" applyProtection="1">
      <alignment horizontal="center" vertical="center" wrapText="1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6" borderId="6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12" fillId="6" borderId="11" xfId="0" applyFont="1" applyFill="1" applyBorder="1" applyAlignment="1" applyProtection="1">
      <alignment horizontal="center" vertical="center"/>
      <protection hidden="1"/>
    </xf>
    <xf numFmtId="0" fontId="1" fillId="7" borderId="27" xfId="0" applyFont="1" applyFill="1" applyBorder="1" applyAlignment="1" applyProtection="1">
      <alignment horizontal="center"/>
      <protection hidden="1"/>
    </xf>
    <xf numFmtId="0" fontId="1" fillId="7" borderId="18" xfId="0" applyFont="1" applyFill="1" applyBorder="1" applyAlignment="1" applyProtection="1">
      <alignment horizontal="center"/>
      <protection hidden="1"/>
    </xf>
    <xf numFmtId="0" fontId="1" fillId="7" borderId="2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23" xfId="0" applyFill="1" applyBorder="1" applyAlignment="1" applyProtection="1">
      <protection hidden="1"/>
    </xf>
    <xf numFmtId="2" fontId="0" fillId="2" borderId="13" xfId="0" applyNumberFormat="1" applyFill="1" applyBorder="1" applyAlignment="1" applyProtection="1">
      <alignment horizontal="center"/>
      <protection hidden="1"/>
    </xf>
    <xf numFmtId="4" fontId="0" fillId="2" borderId="22" xfId="0" applyNumberFormat="1" applyFill="1" applyBorder="1" applyAlignment="1" applyProtection="1">
      <alignment horizontal="center"/>
      <protection hidden="1"/>
    </xf>
    <xf numFmtId="0" fontId="1" fillId="2" borderId="56" xfId="0" applyFont="1" applyFill="1" applyBorder="1" applyAlignment="1" applyProtection="1">
      <alignment horizontal="left" vertical="center" indent="1"/>
      <protection hidden="1"/>
    </xf>
    <xf numFmtId="0" fontId="0" fillId="2" borderId="37" xfId="0" applyFill="1" applyBorder="1" applyAlignment="1" applyProtection="1">
      <alignment horizontal="left"/>
      <protection hidden="1"/>
    </xf>
    <xf numFmtId="0" fontId="0" fillId="2" borderId="18" xfId="0" applyFill="1" applyBorder="1" applyAlignment="1" applyProtection="1">
      <alignment horizontal="left"/>
      <protection hidden="1"/>
    </xf>
    <xf numFmtId="0" fontId="0" fillId="2" borderId="26" xfId="0" applyFill="1" applyBorder="1" applyAlignment="1" applyProtection="1">
      <alignment horizontal="left"/>
      <protection hidden="1"/>
    </xf>
    <xf numFmtId="0" fontId="1" fillId="2" borderId="55" xfId="0" applyFont="1" applyFill="1" applyBorder="1" applyAlignment="1" applyProtection="1">
      <alignment horizontal="left" vertical="center" indent="1"/>
      <protection hidden="1"/>
    </xf>
    <xf numFmtId="0" fontId="1" fillId="2" borderId="48" xfId="0" applyFont="1" applyFill="1" applyBorder="1" applyAlignment="1" applyProtection="1">
      <alignment horizontal="left" vertical="center" indent="1"/>
      <protection hidden="1"/>
    </xf>
    <xf numFmtId="0" fontId="0" fillId="2" borderId="43" xfId="0" applyFill="1" applyBorder="1" applyAlignment="1" applyProtection="1">
      <alignment horizontal="left"/>
      <protection hidden="1"/>
    </xf>
    <xf numFmtId="0" fontId="0" fillId="2" borderId="17" xfId="0" applyFill="1" applyBorder="1" applyAlignment="1" applyProtection="1">
      <alignment horizontal="left"/>
      <protection hidden="1"/>
    </xf>
    <xf numFmtId="0" fontId="0" fillId="2" borderId="24" xfId="0" applyFill="1" applyBorder="1" applyAlignment="1" applyProtection="1">
      <alignment horizontal="left"/>
      <protection hidden="1"/>
    </xf>
    <xf numFmtId="0" fontId="0" fillId="2" borderId="41" xfId="0" applyFill="1" applyBorder="1" applyAlignment="1" applyProtection="1">
      <alignment horizontal="left"/>
      <protection hidden="1"/>
    </xf>
    <xf numFmtId="0" fontId="0" fillId="2" borderId="52" xfId="0" applyFill="1" applyBorder="1" applyAlignment="1" applyProtection="1">
      <alignment horizontal="left"/>
      <protection hidden="1"/>
    </xf>
    <xf numFmtId="0" fontId="0" fillId="2" borderId="51" xfId="0" applyFill="1" applyBorder="1" applyAlignment="1" applyProtection="1">
      <alignment horizontal="left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0" fillId="2" borderId="39" xfId="0" applyFill="1" applyBorder="1" applyAlignment="1" applyProtection="1">
      <alignment horizontal="left" vertical="center"/>
      <protection hidden="1"/>
    </xf>
    <xf numFmtId="0" fontId="0" fillId="2" borderId="16" xfId="0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0" fillId="2" borderId="10" xfId="0" applyFill="1" applyBorder="1" applyAlignment="1" applyProtection="1">
      <alignment horizontal="left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30" xfId="0" applyFill="1" applyBorder="1" applyAlignment="1" applyProtection="1">
      <alignment horizontal="left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44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0" fillId="2" borderId="27" xfId="0" applyFont="1" applyFill="1" applyBorder="1" applyAlignment="1" applyProtection="1">
      <protection hidden="1"/>
    </xf>
    <xf numFmtId="0" fontId="21" fillId="2" borderId="42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43" xfId="0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170" fontId="0" fillId="2" borderId="29" xfId="0" applyNumberFormat="1" applyFill="1" applyBorder="1" applyAlignment="1" applyProtection="1">
      <alignment horizontal="center"/>
      <protection hidden="1"/>
    </xf>
    <xf numFmtId="170" fontId="0" fillId="2" borderId="32" xfId="0" applyNumberFormat="1" applyFill="1" applyBorder="1" applyAlignment="1" applyProtection="1">
      <alignment horizontal="center"/>
      <protection hidden="1"/>
    </xf>
    <xf numFmtId="0" fontId="7" fillId="12" borderId="2" xfId="0" applyFont="1" applyFill="1" applyBorder="1" applyAlignment="1" applyProtection="1">
      <alignment horizontal="center"/>
      <protection hidden="1"/>
    </xf>
    <xf numFmtId="0" fontId="7" fillId="12" borderId="3" xfId="0" applyFont="1" applyFill="1" applyBorder="1" applyAlignment="1" applyProtection="1">
      <alignment horizontal="center"/>
      <protection hidden="1"/>
    </xf>
    <xf numFmtId="0" fontId="7" fillId="12" borderId="4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0" xfId="0" applyFont="1" applyFill="1" applyBorder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 applyProtection="1">
      <alignment horizontal="center" vertical="center" wrapText="1"/>
      <protection hidden="1"/>
    </xf>
    <xf numFmtId="0" fontId="19" fillId="3" borderId="16" xfId="0" applyFont="1" applyFill="1" applyBorder="1" applyAlignment="1" applyProtection="1">
      <alignment horizontal="center" wrapText="1"/>
      <protection hidden="1"/>
    </xf>
    <xf numFmtId="49" fontId="39" fillId="3" borderId="17" xfId="0" applyNumberFormat="1" applyFont="1" applyFill="1" applyBorder="1" applyAlignment="1" applyProtection="1">
      <alignment horizontal="center" wrapText="1"/>
      <protection hidden="1"/>
    </xf>
    <xf numFmtId="3" fontId="31" fillId="3" borderId="16" xfId="0" applyNumberFormat="1" applyFont="1" applyFill="1" applyBorder="1" applyAlignment="1" applyProtection="1">
      <alignment horizontal="center"/>
      <protection hidden="1"/>
    </xf>
    <xf numFmtId="3" fontId="31" fillId="3" borderId="0" xfId="0" applyNumberFormat="1" applyFont="1" applyFill="1" applyBorder="1" applyAlignment="1" applyProtection="1">
      <alignment horizontal="center"/>
      <protection hidden="1"/>
    </xf>
    <xf numFmtId="170" fontId="31" fillId="3" borderId="18" xfId="0" applyNumberFormat="1" applyFont="1" applyFill="1" applyBorder="1" applyAlignment="1" applyProtection="1">
      <alignment horizontal="center"/>
      <protection hidden="1"/>
    </xf>
    <xf numFmtId="165" fontId="0" fillId="2" borderId="2" xfId="0" applyNumberFormat="1" applyFont="1" applyFill="1" applyBorder="1" applyAlignment="1" applyProtection="1">
      <alignment horizontal="center"/>
      <protection hidden="1"/>
    </xf>
    <xf numFmtId="165" fontId="0" fillId="2" borderId="4" xfId="0" applyNumberFormat="1" applyFont="1" applyFill="1" applyBorder="1" applyAlignment="1" applyProtection="1">
      <alignment horizontal="center"/>
      <protection hidden="1"/>
    </xf>
    <xf numFmtId="3" fontId="31" fillId="3" borderId="17" xfId="0" applyNumberFormat="1" applyFont="1" applyFill="1" applyBorder="1" applyProtection="1">
      <protection hidden="1"/>
    </xf>
    <xf numFmtId="0" fontId="31" fillId="3" borderId="17" xfId="0" applyFont="1" applyFill="1" applyBorder="1" applyProtection="1">
      <protection hidden="1"/>
    </xf>
    <xf numFmtId="3" fontId="31" fillId="3" borderId="17" xfId="0" applyNumberFormat="1" applyFont="1" applyFill="1" applyBorder="1" applyAlignment="1" applyProtection="1">
      <alignment horizontal="right" vertical="center"/>
      <protection hidden="1"/>
    </xf>
    <xf numFmtId="2" fontId="31" fillId="3" borderId="16" xfId="0" applyNumberFormat="1" applyFont="1" applyFill="1" applyBorder="1" applyAlignment="1" applyProtection="1">
      <alignment horizontal="center"/>
      <protection hidden="1"/>
    </xf>
    <xf numFmtId="2" fontId="31" fillId="3" borderId="0" xfId="0" applyNumberFormat="1" applyFont="1" applyFill="1" applyBorder="1" applyAlignment="1" applyProtection="1">
      <alignment horizontal="center"/>
      <protection hidden="1"/>
    </xf>
    <xf numFmtId="2" fontId="31" fillId="3" borderId="17" xfId="0" applyNumberFormat="1" applyFont="1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/>
      <protection hidden="1"/>
    </xf>
    <xf numFmtId="0" fontId="0" fillId="2" borderId="3" xfId="0" applyFill="1" applyBorder="1" applyAlignment="1" applyProtection="1">
      <alignment horizontal="left"/>
      <protection hidden="1"/>
    </xf>
    <xf numFmtId="0" fontId="0" fillId="2" borderId="3" xfId="0" applyFill="1" applyBorder="1" applyProtection="1">
      <protection hidden="1"/>
    </xf>
    <xf numFmtId="0" fontId="19" fillId="2" borderId="18" xfId="0" applyFont="1" applyFill="1" applyBorder="1" applyAlignment="1" applyProtection="1">
      <alignment vertical="center"/>
      <protection hidden="1"/>
    </xf>
    <xf numFmtId="0" fontId="50" fillId="2" borderId="0" xfId="0" applyFont="1" applyFill="1" applyBorder="1" applyAlignment="1" applyProtection="1">
      <alignment horizontal="left" vertical="center" wrapText="1"/>
      <protection hidden="1"/>
    </xf>
    <xf numFmtId="0" fontId="50" fillId="2" borderId="0" xfId="0" applyFont="1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/>
      <protection hidden="1"/>
    </xf>
    <xf numFmtId="2" fontId="0" fillId="2" borderId="0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0" fillId="2" borderId="0" xfId="0" applyFill="1" applyBorder="1" applyAlignment="1" applyProtection="1">
      <alignment horizontal="right"/>
      <protection hidden="1"/>
    </xf>
    <xf numFmtId="2" fontId="0" fillId="2" borderId="17" xfId="0" applyNumberForma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right"/>
      <protection hidden="1"/>
    </xf>
    <xf numFmtId="2" fontId="0" fillId="2" borderId="17" xfId="0" applyNumberFormat="1" applyFill="1" applyBorder="1" applyAlignment="1" applyProtection="1">
      <alignment horizontal="right" indent="4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7" fillId="9" borderId="2" xfId="0" applyFont="1" applyFill="1" applyBorder="1" applyAlignment="1" applyProtection="1">
      <alignment horizontal="center" vertical="center"/>
      <protection hidden="1"/>
    </xf>
    <xf numFmtId="0" fontId="7" fillId="9" borderId="3" xfId="0" applyFont="1" applyFill="1" applyBorder="1" applyAlignment="1" applyProtection="1">
      <alignment horizontal="center" vertical="center"/>
      <protection hidden="1"/>
    </xf>
    <xf numFmtId="0" fontId="7" fillId="9" borderId="4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50" fillId="2" borderId="5" xfId="0" applyFont="1" applyFill="1" applyBorder="1" applyAlignment="1" applyProtection="1">
      <alignment horizontal="center" vertical="center" wrapText="1"/>
      <protection hidden="1"/>
    </xf>
    <xf numFmtId="0" fontId="50" fillId="2" borderId="6" xfId="0" applyFont="1" applyFill="1" applyBorder="1" applyAlignment="1" applyProtection="1">
      <alignment horizontal="center" vertical="center" wrapText="1"/>
      <protection hidden="1"/>
    </xf>
    <xf numFmtId="0" fontId="50" fillId="2" borderId="8" xfId="0" applyFont="1" applyFill="1" applyBorder="1" applyAlignment="1" applyProtection="1">
      <alignment horizontal="center" vertical="center" wrapText="1"/>
      <protection hidden="1"/>
    </xf>
    <xf numFmtId="0" fontId="50" fillId="2" borderId="0" xfId="0" applyFont="1" applyFill="1" applyBorder="1" applyAlignment="1" applyProtection="1">
      <alignment horizontal="center" vertical="center" wrapText="1"/>
      <protection hidden="1"/>
    </xf>
    <xf numFmtId="0" fontId="50" fillId="2" borderId="10" xfId="0" applyFont="1" applyFill="1" applyBorder="1" applyAlignment="1" applyProtection="1">
      <alignment horizontal="center" vertical="center" wrapText="1"/>
      <protection hidden="1"/>
    </xf>
    <xf numFmtId="0" fontId="50" fillId="2" borderId="11" xfId="0" applyFont="1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7" fillId="13" borderId="2" xfId="0" applyFont="1" applyFill="1" applyBorder="1" applyAlignment="1" applyProtection="1">
      <alignment horizontal="center" vertical="center"/>
      <protection hidden="1"/>
    </xf>
    <xf numFmtId="0" fontId="7" fillId="13" borderId="3" xfId="0" applyFont="1" applyFill="1" applyBorder="1" applyAlignment="1" applyProtection="1">
      <alignment horizontal="center" vertical="center"/>
      <protection hidden="1"/>
    </xf>
    <xf numFmtId="0" fontId="7" fillId="13" borderId="4" xfId="0" applyFont="1" applyFill="1" applyBorder="1" applyAlignment="1" applyProtection="1">
      <alignment horizontal="center" vertical="center"/>
      <protection hidden="1"/>
    </xf>
    <xf numFmtId="4" fontId="0" fillId="2" borderId="8" xfId="0" applyNumberFormat="1" applyFill="1" applyBorder="1" applyAlignment="1" applyProtection="1">
      <alignment horizontal="center"/>
      <protection hidden="1"/>
    </xf>
    <xf numFmtId="4" fontId="0" fillId="2" borderId="10" xfId="0" applyNumberFormat="1" applyFill="1" applyBorder="1" applyAlignment="1" applyProtection="1">
      <alignment horizontal="center"/>
      <protection hidden="1"/>
    </xf>
    <xf numFmtId="2" fontId="0" fillId="2" borderId="23" xfId="0" applyNumberFormat="1" applyFill="1" applyBorder="1" applyProtection="1">
      <protection hidden="1"/>
    </xf>
    <xf numFmtId="2" fontId="0" fillId="2" borderId="20" xfId="0" applyNumberFormat="1" applyFill="1" applyBorder="1" applyProtection="1">
      <protection hidden="1"/>
    </xf>
    <xf numFmtId="2" fontId="0" fillId="2" borderId="27" xfId="0" applyNumberFormat="1" applyFill="1" applyBorder="1" applyAlignment="1" applyProtection="1">
      <alignment horizontal="center"/>
      <protection hidden="1"/>
    </xf>
    <xf numFmtId="2" fontId="0" fillId="2" borderId="38" xfId="0" applyNumberForma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170" fontId="0" fillId="2" borderId="31" xfId="0" applyNumberFormat="1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2" fontId="0" fillId="2" borderId="54" xfId="0" applyNumberFormat="1" applyFill="1" applyBorder="1" applyProtection="1">
      <protection hidden="1"/>
    </xf>
    <xf numFmtId="0" fontId="50" fillId="2" borderId="0" xfId="0" applyFont="1" applyFill="1" applyBorder="1" applyAlignment="1" applyProtection="1">
      <alignment horizontal="left" vertical="center" wrapText="1"/>
      <protection hidden="1"/>
    </xf>
    <xf numFmtId="167" fontId="0" fillId="2" borderId="0" xfId="0" applyNumberFormat="1" applyFill="1" applyBorder="1" applyProtection="1">
      <protection hidden="1"/>
    </xf>
    <xf numFmtId="164" fontId="0" fillId="2" borderId="0" xfId="0" applyNumberFormat="1" applyFont="1" applyFill="1" applyBorder="1" applyProtection="1"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0" fillId="2" borderId="16" xfId="0" applyFont="1" applyFill="1" applyBorder="1" applyProtection="1">
      <protection hidden="1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170" fontId="0" fillId="8" borderId="32" xfId="0" applyNumberFormat="1" applyFont="1" applyFill="1" applyBorder="1" applyAlignment="1" applyProtection="1">
      <alignment horizont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0" fillId="2" borderId="39" xfId="0" applyFill="1" applyBorder="1" applyAlignment="1" applyProtection="1">
      <alignment vertical="center"/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43" xfId="0" applyFill="1" applyBorder="1" applyAlignment="1" applyProtection="1">
      <alignment vertical="center"/>
      <protection hidden="1"/>
    </xf>
    <xf numFmtId="0" fontId="0" fillId="2" borderId="17" xfId="0" applyFill="1" applyBorder="1" applyAlignment="1" applyProtection="1">
      <alignment vertical="center"/>
      <protection hidden="1"/>
    </xf>
    <xf numFmtId="1" fontId="0" fillId="2" borderId="54" xfId="0" applyNumberFormat="1" applyFont="1" applyFill="1" applyBorder="1" applyAlignment="1" applyProtection="1">
      <protection hidden="1"/>
    </xf>
    <xf numFmtId="0" fontId="0" fillId="2" borderId="38" xfId="0" applyFont="1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18" xfId="0" applyFill="1" applyBorder="1" applyAlignment="1" applyProtection="1">
      <protection hidden="1"/>
    </xf>
    <xf numFmtId="169" fontId="0" fillId="2" borderId="0" xfId="0" applyNumberFormat="1" applyFont="1" applyFill="1" applyBorder="1" applyAlignment="1" applyProtection="1">
      <protection hidden="1"/>
    </xf>
    <xf numFmtId="0" fontId="17" fillId="2" borderId="14" xfId="0" applyFont="1" applyFill="1" applyBorder="1" applyAlignment="1" applyProtection="1">
      <alignment horizontal="center" vertical="center" wrapText="1"/>
      <protection hidden="1"/>
    </xf>
    <xf numFmtId="169" fontId="0" fillId="2" borderId="6" xfId="0" applyNumberFormat="1" applyFont="1" applyFill="1" applyBorder="1" applyAlignment="1" applyProtection="1">
      <alignment horizontal="center"/>
      <protection hidden="1"/>
    </xf>
    <xf numFmtId="169" fontId="0" fillId="2" borderId="25" xfId="0" applyNumberFormat="1" applyFont="1" applyFill="1" applyBorder="1" applyAlignment="1" applyProtection="1">
      <alignment horizontal="center" vertical="center" wrapText="1"/>
      <protection hidden="1"/>
    </xf>
    <xf numFmtId="170" fontId="0" fillId="2" borderId="45" xfId="0" applyNumberFormat="1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169" fontId="0" fillId="2" borderId="11" xfId="0" applyNumberFormat="1" applyFont="1" applyFill="1" applyBorder="1" applyAlignment="1" applyProtection="1">
      <alignment horizontal="center"/>
      <protection hidden="1"/>
    </xf>
    <xf numFmtId="169" fontId="0" fillId="2" borderId="29" xfId="0" applyNumberFormat="1" applyFont="1" applyFill="1" applyBorder="1" applyAlignment="1" applyProtection="1">
      <alignment horizontal="center" vertical="center" wrapText="1"/>
      <protection hidden="1"/>
    </xf>
    <xf numFmtId="170" fontId="0" fillId="2" borderId="32" xfId="0" applyNumberFormat="1" applyFont="1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1" fillId="12" borderId="19" xfId="0" applyFont="1" applyFill="1" applyBorder="1" applyAlignment="1" applyProtection="1">
      <alignment horizontal="center" vertical="center"/>
      <protection hidden="1"/>
    </xf>
    <xf numFmtId="0" fontId="3" fillId="12" borderId="34" xfId="0" applyFont="1" applyFill="1" applyBorder="1" applyAlignment="1" applyProtection="1">
      <alignment horizontal="center"/>
      <protection hidden="1"/>
    </xf>
    <xf numFmtId="0" fontId="3" fillId="12" borderId="35" xfId="0" applyFont="1" applyFill="1" applyBorder="1" applyAlignment="1" applyProtection="1">
      <alignment horizontal="center"/>
      <protection hidden="1"/>
    </xf>
    <xf numFmtId="0" fontId="3" fillId="12" borderId="36" xfId="0" applyFont="1" applyFill="1" applyBorder="1" applyAlignment="1" applyProtection="1">
      <alignment horizontal="center"/>
      <protection hidden="1"/>
    </xf>
    <xf numFmtId="0" fontId="3" fillId="12" borderId="60" xfId="0" applyFont="1" applyFill="1" applyBorder="1" applyAlignment="1" applyProtection="1">
      <alignment horizontal="center"/>
      <protection hidden="1"/>
    </xf>
    <xf numFmtId="0" fontId="1" fillId="12" borderId="14" xfId="0" applyFont="1" applyFill="1" applyBorder="1" applyAlignment="1" applyProtection="1">
      <alignment horizontal="center" vertical="center"/>
      <protection hidden="1"/>
    </xf>
    <xf numFmtId="0" fontId="1" fillId="12" borderId="0" xfId="0" applyFont="1" applyFill="1" applyBorder="1" applyAlignment="1" applyProtection="1">
      <alignment horizontal="center" vertical="center"/>
      <protection hidden="1"/>
    </xf>
    <xf numFmtId="0" fontId="1" fillId="12" borderId="25" xfId="0" applyFont="1" applyFill="1" applyBorder="1" applyAlignment="1" applyProtection="1">
      <alignment horizontal="center" vertical="center"/>
      <protection hidden="1"/>
    </xf>
    <xf numFmtId="0" fontId="1" fillId="12" borderId="45" xfId="0" applyFont="1" applyFill="1" applyBorder="1" applyAlignment="1" applyProtection="1">
      <alignment horizontal="center" vertical="center"/>
      <protection hidden="1"/>
    </xf>
    <xf numFmtId="0" fontId="1" fillId="12" borderId="9" xfId="0" applyFont="1" applyFill="1" applyBorder="1" applyAlignment="1" applyProtection="1">
      <alignment horizontal="center"/>
      <protection hidden="1"/>
    </xf>
    <xf numFmtId="0" fontId="1" fillId="12" borderId="15" xfId="0" applyFont="1" applyFill="1" applyBorder="1" applyAlignment="1" applyProtection="1">
      <alignment horizontal="center" vertical="center"/>
      <protection hidden="1"/>
    </xf>
    <xf numFmtId="0" fontId="14" fillId="12" borderId="11" xfId="0" applyFont="1" applyFill="1" applyBorder="1" applyAlignment="1" applyProtection="1">
      <alignment horizontal="center" vertical="center"/>
      <protection hidden="1"/>
    </xf>
    <xf numFmtId="0" fontId="14" fillId="12" borderId="29" xfId="0" applyFont="1" applyFill="1" applyBorder="1" applyAlignment="1" applyProtection="1">
      <alignment horizontal="center" vertical="center"/>
      <protection hidden="1"/>
    </xf>
    <xf numFmtId="0" fontId="14" fillId="12" borderId="32" xfId="0" applyFont="1" applyFill="1" applyBorder="1" applyAlignment="1" applyProtection="1">
      <alignment horizontal="center" vertical="center"/>
      <protection hidden="1"/>
    </xf>
    <xf numFmtId="0" fontId="0" fillId="12" borderId="12" xfId="0" applyFill="1" applyBorder="1" applyAlignment="1" applyProtection="1">
      <alignment horizontal="center"/>
      <protection hidden="1"/>
    </xf>
    <xf numFmtId="0" fontId="13" fillId="12" borderId="34" xfId="0" applyFont="1" applyFill="1" applyBorder="1" applyAlignment="1" applyProtection="1">
      <alignment horizontal="center" vertical="center"/>
      <protection hidden="1"/>
    </xf>
    <xf numFmtId="0" fontId="13" fillId="12" borderId="36" xfId="0" applyFont="1" applyFill="1" applyBorder="1" applyAlignment="1" applyProtection="1">
      <alignment horizontal="center" vertical="center"/>
      <protection hidden="1"/>
    </xf>
    <xf numFmtId="0" fontId="13" fillId="12" borderId="10" xfId="0" applyFont="1" applyFill="1" applyBorder="1" applyAlignment="1" applyProtection="1">
      <alignment horizontal="center"/>
      <protection hidden="1"/>
    </xf>
    <xf numFmtId="0" fontId="13" fillId="12" borderId="58" xfId="0" applyFont="1" applyFill="1" applyBorder="1" applyAlignment="1" applyProtection="1">
      <alignment horizontal="center"/>
      <protection hidden="1"/>
    </xf>
    <xf numFmtId="0" fontId="1" fillId="12" borderId="5" xfId="0" applyFont="1" applyFill="1" applyBorder="1" applyAlignment="1" applyProtection="1">
      <alignment horizontal="center" vertical="center"/>
      <protection hidden="1"/>
    </xf>
    <xf numFmtId="0" fontId="1" fillId="12" borderId="8" xfId="0" applyFont="1" applyFill="1" applyBorder="1" applyAlignment="1" applyProtection="1">
      <alignment horizontal="center" vertical="center"/>
      <protection hidden="1"/>
    </xf>
    <xf numFmtId="0" fontId="1" fillId="12" borderId="8" xfId="0" applyFont="1" applyFill="1" applyBorder="1" applyAlignment="1" applyProtection="1">
      <alignment horizontal="center" vertical="center"/>
      <protection hidden="1"/>
    </xf>
    <xf numFmtId="0" fontId="1" fillId="12" borderId="10" xfId="0" applyFont="1" applyFill="1" applyBorder="1" applyAlignment="1" applyProtection="1">
      <alignment horizontal="center" vertical="center"/>
      <protection hidden="1"/>
    </xf>
    <xf numFmtId="0" fontId="14" fillId="12" borderId="10" xfId="0" applyFont="1" applyFill="1" applyBorder="1" applyAlignment="1" applyProtection="1">
      <alignment horizontal="center" vertical="center"/>
      <protection hidden="1"/>
    </xf>
    <xf numFmtId="0" fontId="3" fillId="12" borderId="2" xfId="0" applyFont="1" applyFill="1" applyBorder="1" applyAlignment="1" applyProtection="1">
      <alignment horizontal="center"/>
      <protection hidden="1"/>
    </xf>
    <xf numFmtId="0" fontId="3" fillId="12" borderId="3" xfId="0" applyFont="1" applyFill="1" applyBorder="1" applyAlignment="1" applyProtection="1">
      <alignment horizontal="center"/>
      <protection hidden="1"/>
    </xf>
    <xf numFmtId="0" fontId="3" fillId="12" borderId="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protection hidden="1"/>
    </xf>
    <xf numFmtId="0" fontId="51" fillId="9" borderId="5" xfId="0" applyFont="1" applyFill="1" applyBorder="1" applyAlignment="1" applyProtection="1">
      <alignment horizontal="center" vertical="center"/>
      <protection hidden="1"/>
    </xf>
    <xf numFmtId="0" fontId="51" fillId="9" borderId="6" xfId="0" applyFont="1" applyFill="1" applyBorder="1" applyAlignment="1" applyProtection="1">
      <alignment horizontal="center" vertical="center"/>
      <protection hidden="1"/>
    </xf>
    <xf numFmtId="0" fontId="51" fillId="9" borderId="7" xfId="0" applyFont="1" applyFill="1" applyBorder="1" applyAlignment="1" applyProtection="1">
      <alignment horizontal="center" vertical="center"/>
      <protection hidden="1"/>
    </xf>
    <xf numFmtId="0" fontId="51" fillId="9" borderId="10" xfId="0" applyFont="1" applyFill="1" applyBorder="1" applyAlignment="1" applyProtection="1">
      <alignment horizontal="center" vertical="center"/>
      <protection hidden="1"/>
    </xf>
    <xf numFmtId="0" fontId="51" fillId="9" borderId="11" xfId="0" applyFont="1" applyFill="1" applyBorder="1" applyAlignment="1" applyProtection="1">
      <alignment horizontal="center" vertical="center"/>
      <protection hidden="1"/>
    </xf>
    <xf numFmtId="0" fontId="51" fillId="9" borderId="12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17" fillId="2" borderId="8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protection hidden="1"/>
    </xf>
    <xf numFmtId="0" fontId="0" fillId="2" borderId="44" xfId="0" applyFill="1" applyBorder="1" applyAlignment="1" applyProtection="1">
      <protection hidden="1"/>
    </xf>
    <xf numFmtId="0" fontId="37" fillId="2" borderId="0" xfId="0" applyFont="1" applyFill="1" applyBorder="1" applyAlignment="1" applyProtection="1">
      <alignment horizontal="left"/>
      <protection hidden="1"/>
    </xf>
    <xf numFmtId="0" fontId="37" fillId="2" borderId="17" xfId="0" applyFont="1" applyFill="1" applyBorder="1" applyAlignment="1" applyProtection="1">
      <alignment horizontal="left"/>
      <protection hidden="1"/>
    </xf>
    <xf numFmtId="0" fontId="27" fillId="10" borderId="0" xfId="0" applyFont="1" applyFill="1" applyAlignment="1" applyProtection="1">
      <alignment horizontal="left" vertical="center" indent="1"/>
      <protection hidden="1"/>
    </xf>
    <xf numFmtId="0" fontId="38" fillId="10" borderId="0" xfId="0" applyFont="1" applyFill="1" applyAlignment="1" applyProtection="1">
      <alignment vertical="center"/>
      <protection hidden="1"/>
    </xf>
    <xf numFmtId="0" fontId="37" fillId="2" borderId="17" xfId="0" applyFont="1" applyFill="1" applyBorder="1" applyProtection="1">
      <protection hidden="1"/>
    </xf>
    <xf numFmtId="0" fontId="37" fillId="2" borderId="16" xfId="0" applyFont="1" applyFill="1" applyBorder="1" applyAlignment="1" applyProtection="1">
      <alignment horizontal="left"/>
      <protection hidden="1"/>
    </xf>
    <xf numFmtId="0" fontId="37" fillId="2" borderId="17" xfId="0" applyFont="1" applyFill="1" applyBorder="1" applyAlignment="1" applyProtection="1">
      <alignment horizontal="left" indent="1"/>
      <protection hidden="1"/>
    </xf>
    <xf numFmtId="0" fontId="34" fillId="2" borderId="16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left" indent="1"/>
      <protection hidden="1"/>
    </xf>
    <xf numFmtId="0" fontId="34" fillId="2" borderId="0" xfId="0" applyFont="1" applyFill="1" applyBorder="1" applyAlignment="1" applyProtection="1">
      <alignment horizontal="left"/>
      <protection hidden="1"/>
    </xf>
    <xf numFmtId="0" fontId="34" fillId="2" borderId="17" xfId="0" applyFont="1" applyFill="1" applyBorder="1" applyAlignment="1" applyProtection="1">
      <alignment horizontal="left"/>
      <protection hidden="1"/>
    </xf>
    <xf numFmtId="0" fontId="0" fillId="2" borderId="53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2" fontId="0" fillId="2" borderId="9" xfId="0" applyNumberFormat="1" applyFill="1" applyBorder="1" applyProtection="1">
      <protection hidden="1"/>
    </xf>
    <xf numFmtId="169" fontId="0" fillId="2" borderId="56" xfId="0" applyNumberFormat="1" applyFont="1" applyFill="1" applyBorder="1" applyAlignment="1" applyProtection="1">
      <alignment horizontal="right" vertical="center" wrapText="1" indent="1"/>
      <protection hidden="1"/>
    </xf>
    <xf numFmtId="169" fontId="0" fillId="2" borderId="59" xfId="0" applyNumberFormat="1" applyFont="1" applyFill="1" applyBorder="1" applyAlignment="1" applyProtection="1">
      <alignment horizontal="right" vertical="center" wrapText="1" indent="1"/>
      <protection hidden="1"/>
    </xf>
    <xf numFmtId="170" fontId="0" fillId="2" borderId="57" xfId="0" applyNumberFormat="1" applyFont="1" applyFill="1" applyBorder="1" applyAlignment="1" applyProtection="1">
      <alignment horizontal="right" indent="1"/>
      <protection hidden="1"/>
    </xf>
    <xf numFmtId="0" fontId="0" fillId="2" borderId="7" xfId="0" applyFill="1" applyBorder="1" applyAlignment="1" applyProtection="1">
      <alignment horizontal="right" vertical="center" inden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169" fontId="0" fillId="2" borderId="49" xfId="0" applyNumberFormat="1" applyFont="1" applyFill="1" applyBorder="1" applyAlignment="1" applyProtection="1">
      <alignment horizontal="right" vertical="center" wrapText="1" indent="1"/>
      <protection hidden="1"/>
    </xf>
    <xf numFmtId="0" fontId="0" fillId="2" borderId="9" xfId="0" applyFill="1" applyBorder="1" applyAlignment="1" applyProtection="1">
      <alignment horizontal="right" vertical="center" indent="1"/>
      <protection hidden="1"/>
    </xf>
    <xf numFmtId="169" fontId="0" fillId="2" borderId="31" xfId="0" applyNumberFormat="1" applyFont="1" applyFill="1" applyBorder="1" applyAlignment="1" applyProtection="1">
      <alignment horizontal="right" vertical="center" wrapText="1" indent="1"/>
      <protection hidden="1"/>
    </xf>
    <xf numFmtId="0" fontId="0" fillId="2" borderId="12" xfId="0" applyFill="1" applyBorder="1" applyAlignment="1" applyProtection="1">
      <alignment horizontal="right" vertical="center" inden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50" fillId="13" borderId="5" xfId="0" applyFont="1" applyFill="1" applyBorder="1" applyAlignment="1" applyProtection="1">
      <alignment horizontal="center" vertical="center"/>
      <protection hidden="1"/>
    </xf>
    <xf numFmtId="0" fontId="50" fillId="13" borderId="6" xfId="0" applyFont="1" applyFill="1" applyBorder="1" applyAlignment="1" applyProtection="1">
      <alignment horizontal="center" vertical="center"/>
      <protection hidden="1"/>
    </xf>
    <xf numFmtId="0" fontId="50" fillId="13" borderId="7" xfId="0" applyFont="1" applyFill="1" applyBorder="1" applyAlignment="1" applyProtection="1">
      <alignment horizontal="center" vertical="center"/>
      <protection hidden="1"/>
    </xf>
    <xf numFmtId="0" fontId="50" fillId="13" borderId="10" xfId="0" applyFont="1" applyFill="1" applyBorder="1" applyAlignment="1" applyProtection="1">
      <alignment horizontal="center" vertical="center"/>
      <protection hidden="1"/>
    </xf>
    <xf numFmtId="0" fontId="50" fillId="13" borderId="11" xfId="0" applyFont="1" applyFill="1" applyBorder="1" applyAlignment="1" applyProtection="1">
      <alignment horizontal="center" vertical="center"/>
      <protection hidden="1"/>
    </xf>
    <xf numFmtId="0" fontId="50" fillId="13" borderId="12" xfId="0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7" xfId="0" applyBorder="1" applyProtection="1">
      <protection hidden="1"/>
    </xf>
    <xf numFmtId="0" fontId="22" fillId="0" borderId="18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 indent="1"/>
      <protection hidden="1"/>
    </xf>
    <xf numFmtId="165" fontId="0" fillId="0" borderId="0" xfId="0" applyNumberFormat="1" applyBorder="1" applyProtection="1">
      <protection hidden="1"/>
    </xf>
    <xf numFmtId="0" fontId="0" fillId="0" borderId="17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165" fontId="0" fillId="0" borderId="0" xfId="0" applyNumberFormat="1" applyFill="1" applyBorder="1" applyProtection="1">
      <protection hidden="1"/>
    </xf>
    <xf numFmtId="0" fontId="0" fillId="0" borderId="17" xfId="0" applyBorder="1" applyAlignment="1" applyProtection="1">
      <alignment horizontal="left" vertical="center" indent="1"/>
      <protection hidden="1"/>
    </xf>
    <xf numFmtId="2" fontId="0" fillId="2" borderId="17" xfId="0" applyNumberFormat="1" applyFill="1" applyBorder="1" applyProtection="1">
      <protection hidden="1"/>
    </xf>
    <xf numFmtId="165" fontId="0" fillId="0" borderId="17" xfId="0" applyNumberForma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165" fontId="0" fillId="0" borderId="11" xfId="0" applyNumberFormat="1" applyBorder="1" applyProtection="1">
      <protection hidden="1"/>
    </xf>
    <xf numFmtId="0" fontId="0" fillId="0" borderId="12" xfId="0" applyBorder="1" applyProtection="1">
      <protection hidden="1"/>
    </xf>
    <xf numFmtId="165" fontId="0" fillId="0" borderId="6" xfId="0" applyNumberFormat="1" applyBorder="1" applyProtection="1"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2" fontId="31" fillId="0" borderId="16" xfId="0" applyNumberFormat="1" applyFont="1" applyBorder="1" applyAlignment="1" applyProtection="1">
      <alignment horizontal="center"/>
      <protection hidden="1"/>
    </xf>
    <xf numFmtId="2" fontId="0" fillId="2" borderId="18" xfId="0" applyNumberFormat="1" applyFill="1" applyBorder="1" applyAlignment="1" applyProtection="1">
      <alignment horizontal="center" wrapText="1"/>
      <protection hidden="1"/>
    </xf>
    <xf numFmtId="0" fontId="18" fillId="2" borderId="16" xfId="0" applyFont="1" applyFill="1" applyBorder="1" applyAlignment="1" applyProtection="1">
      <alignment horizontal="right"/>
      <protection hidden="1"/>
    </xf>
    <xf numFmtId="0" fontId="18" fillId="0" borderId="17" xfId="0" applyFont="1" applyBorder="1" applyAlignment="1" applyProtection="1">
      <alignment horizontal="center"/>
      <protection hidden="1"/>
    </xf>
    <xf numFmtId="2" fontId="31" fillId="0" borderId="17" xfId="0" applyNumberFormat="1" applyFont="1" applyBorder="1" applyAlignment="1" applyProtection="1">
      <alignment horizontal="center"/>
      <protection hidden="1"/>
    </xf>
    <xf numFmtId="2" fontId="35" fillId="2" borderId="0" xfId="0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Border="1" applyAlignment="1" applyProtection="1">
      <alignment horizontal="right"/>
      <protection hidden="1"/>
    </xf>
    <xf numFmtId="0" fontId="18" fillId="2" borderId="17" xfId="0" applyFont="1" applyFill="1" applyBorder="1" applyAlignment="1" applyProtection="1">
      <alignment horizontal="right"/>
      <protection hidden="1"/>
    </xf>
    <xf numFmtId="164" fontId="18" fillId="2" borderId="17" xfId="0" applyNumberFormat="1" applyFont="1" applyFill="1" applyBorder="1" applyAlignment="1" applyProtection="1">
      <alignment horizontal="center"/>
      <protection hidden="1"/>
    </xf>
    <xf numFmtId="2" fontId="35" fillId="2" borderId="17" xfId="0" applyNumberFormat="1" applyFont="1" applyFill="1" applyBorder="1" applyAlignment="1" applyProtection="1">
      <alignment horizontal="center"/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0" fontId="19" fillId="0" borderId="18" xfId="0" applyFont="1" applyFill="1" applyBorder="1" applyAlignment="1" applyProtection="1">
      <alignment horizontal="center"/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2" fontId="19" fillId="3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left" vertical="center"/>
      <protection hidden="1"/>
    </xf>
    <xf numFmtId="2" fontId="19" fillId="3" borderId="17" xfId="0" applyNumberFormat="1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1" fontId="18" fillId="2" borderId="17" xfId="0" applyNumberFormat="1" applyFont="1" applyFill="1" applyBorder="1" applyAlignment="1" applyProtection="1">
      <alignment horizontal="center"/>
      <protection hidden="1"/>
    </xf>
    <xf numFmtId="169" fontId="18" fillId="2" borderId="0" xfId="0" applyNumberFormat="1" applyFont="1" applyFill="1" applyBorder="1" applyAlignment="1" applyProtection="1">
      <alignment horizontal="center" vertical="center"/>
      <protection hidden="1"/>
    </xf>
    <xf numFmtId="1" fontId="19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2" borderId="17" xfId="0" applyNumberFormat="1" applyFont="1" applyFill="1" applyBorder="1" applyAlignment="1" applyProtection="1">
      <alignment horizontal="center" vertical="center"/>
      <protection hidden="1"/>
    </xf>
    <xf numFmtId="169" fontId="18" fillId="2" borderId="17" xfId="0" applyNumberFormat="1" applyFont="1" applyFill="1" applyBorder="1" applyAlignment="1" applyProtection="1">
      <alignment horizontal="center" vertical="center"/>
      <protection hidden="1"/>
    </xf>
    <xf numFmtId="1" fontId="19" fillId="3" borderId="17" xfId="0" applyNumberFormat="1" applyFont="1" applyFill="1" applyBorder="1" applyAlignment="1" applyProtection="1">
      <alignment horizontal="center" vertical="center"/>
      <protection hidden="1"/>
    </xf>
    <xf numFmtId="0" fontId="0" fillId="0" borderId="16" xfId="0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11" fillId="2" borderId="57" xfId="0" applyFont="1" applyFill="1" applyBorder="1" applyAlignment="1" applyProtection="1">
      <alignment horizontal="right" vertical="center" wrapText="1" indent="1"/>
      <protection hidden="1"/>
    </xf>
    <xf numFmtId="0" fontId="11" fillId="2" borderId="45" xfId="0" applyFont="1" applyFill="1" applyBorder="1" applyAlignment="1" applyProtection="1">
      <alignment horizontal="right" vertical="center" wrapText="1" indent="1"/>
      <protection hidden="1"/>
    </xf>
    <xf numFmtId="0" fontId="11" fillId="2" borderId="32" xfId="0" applyFont="1" applyFill="1" applyBorder="1" applyAlignment="1" applyProtection="1">
      <alignment horizontal="right" vertical="center" wrapText="1" indent="1"/>
      <protection hidden="1"/>
    </xf>
    <xf numFmtId="0" fontId="19" fillId="2" borderId="16" xfId="0" applyFont="1" applyFill="1" applyBorder="1" applyAlignment="1" applyProtection="1">
      <alignment horizontal="left" vertical="center"/>
      <protection hidden="1"/>
    </xf>
    <xf numFmtId="49" fontId="39" fillId="2" borderId="17" xfId="0" applyNumberFormat="1" applyFont="1" applyFill="1" applyBorder="1" applyAlignment="1" applyProtection="1">
      <alignment horizontal="center" vertical="top"/>
      <protection hidden="1"/>
    </xf>
    <xf numFmtId="0" fontId="19" fillId="2" borderId="17" xfId="0" applyFont="1" applyFill="1" applyBorder="1" applyAlignment="1" applyProtection="1">
      <alignment horizontal="left" vertical="center"/>
      <protection hidden="1"/>
    </xf>
    <xf numFmtId="164" fontId="19" fillId="3" borderId="0" xfId="0" applyNumberFormat="1" applyFont="1" applyFill="1" applyBorder="1" applyAlignment="1" applyProtection="1">
      <alignment horizontal="center"/>
      <protection hidden="1"/>
    </xf>
    <xf numFmtId="164" fontId="19" fillId="3" borderId="17" xfId="0" applyNumberFormat="1" applyFont="1" applyFill="1" applyBorder="1" applyAlignment="1" applyProtection="1">
      <alignment horizontal="center"/>
      <protection hidden="1"/>
    </xf>
    <xf numFmtId="0" fontId="39" fillId="2" borderId="17" xfId="0" applyFont="1" applyFill="1" applyBorder="1" applyAlignment="1" applyProtection="1">
      <alignment horizontal="center" vertical="center"/>
      <protection hidden="1"/>
    </xf>
    <xf numFmtId="170" fontId="18" fillId="2" borderId="16" xfId="0" applyNumberFormat="1" applyFont="1" applyFill="1" applyBorder="1" applyAlignment="1" applyProtection="1">
      <alignment horizontal="right"/>
      <protection hidden="1"/>
    </xf>
    <xf numFmtId="4" fontId="18" fillId="2" borderId="16" xfId="0" applyNumberFormat="1" applyFont="1" applyFill="1" applyBorder="1" applyAlignment="1" applyProtection="1">
      <alignment horizontal="right"/>
      <protection hidden="1"/>
    </xf>
    <xf numFmtId="3" fontId="18" fillId="2" borderId="16" xfId="0" applyNumberFormat="1" applyFont="1" applyFill="1" applyBorder="1" applyAlignment="1" applyProtection="1">
      <alignment horizontal="right"/>
      <protection hidden="1"/>
    </xf>
    <xf numFmtId="4" fontId="18" fillId="2" borderId="16" xfId="0" applyNumberFormat="1" applyFont="1" applyFill="1" applyBorder="1" applyAlignment="1" applyProtection="1">
      <alignment horizontal="center"/>
      <protection hidden="1"/>
    </xf>
    <xf numFmtId="1" fontId="18" fillId="2" borderId="16" xfId="0" applyNumberFormat="1" applyFont="1" applyFill="1" applyBorder="1" applyAlignment="1" applyProtection="1">
      <alignment horizontal="center"/>
      <protection hidden="1"/>
    </xf>
    <xf numFmtId="170" fontId="18" fillId="2" borderId="0" xfId="0" applyNumberFormat="1" applyFont="1" applyFill="1" applyBorder="1" applyAlignment="1" applyProtection="1">
      <alignment horizontal="right"/>
      <protection hidden="1"/>
    </xf>
    <xf numFmtId="4" fontId="18" fillId="2" borderId="0" xfId="0" applyNumberFormat="1" applyFont="1" applyFill="1" applyBorder="1" applyAlignment="1" applyProtection="1">
      <alignment horizontal="right"/>
      <protection hidden="1"/>
    </xf>
    <xf numFmtId="3" fontId="18" fillId="2" borderId="0" xfId="0" applyNumberFormat="1" applyFont="1" applyFill="1" applyBorder="1" applyAlignment="1" applyProtection="1">
      <alignment horizontal="right"/>
      <protection hidden="1"/>
    </xf>
    <xf numFmtId="4" fontId="18" fillId="2" borderId="0" xfId="0" applyNumberFormat="1" applyFont="1" applyFill="1" applyBorder="1" applyAlignment="1" applyProtection="1">
      <alignment horizontal="center"/>
      <protection hidden="1"/>
    </xf>
    <xf numFmtId="170" fontId="18" fillId="2" borderId="17" xfId="0" applyNumberFormat="1" applyFont="1" applyFill="1" applyBorder="1" applyAlignment="1" applyProtection="1">
      <alignment horizontal="right"/>
      <protection hidden="1"/>
    </xf>
    <xf numFmtId="4" fontId="18" fillId="2" borderId="17" xfId="0" applyNumberFormat="1" applyFont="1" applyFill="1" applyBorder="1" applyAlignment="1" applyProtection="1">
      <alignment horizontal="right"/>
      <protection hidden="1"/>
    </xf>
    <xf numFmtId="3" fontId="18" fillId="2" borderId="17" xfId="0" applyNumberFormat="1" applyFont="1" applyFill="1" applyBorder="1" applyAlignment="1" applyProtection="1">
      <alignment horizontal="right"/>
      <protection hidden="1"/>
    </xf>
    <xf numFmtId="4" fontId="18" fillId="2" borderId="17" xfId="0" applyNumberFormat="1" applyFont="1" applyFill="1" applyBorder="1" applyAlignment="1" applyProtection="1">
      <alignment horizontal="center"/>
      <protection hidden="1"/>
    </xf>
    <xf numFmtId="3" fontId="31" fillId="2" borderId="17" xfId="0" applyNumberFormat="1" applyFont="1" applyFill="1" applyBorder="1" applyAlignment="1" applyProtection="1">
      <alignment horizontal="right"/>
      <protection hidden="1"/>
    </xf>
    <xf numFmtId="3" fontId="31" fillId="3" borderId="18" xfId="0" applyNumberFormat="1" applyFont="1" applyFill="1" applyBorder="1" applyAlignment="1" applyProtection="1">
      <alignment horizontal="center"/>
      <protection hidden="1"/>
    </xf>
    <xf numFmtId="1" fontId="31" fillId="3" borderId="0" xfId="0" applyNumberFormat="1" applyFont="1" applyFill="1" applyBorder="1" applyProtection="1">
      <protection hidden="1"/>
    </xf>
    <xf numFmtId="0" fontId="31" fillId="3" borderId="0" xfId="0" applyFont="1" applyFill="1" applyBorder="1" applyProtection="1">
      <protection hidden="1"/>
    </xf>
    <xf numFmtId="0" fontId="37" fillId="2" borderId="0" xfId="0" applyFont="1" applyFill="1" applyBorder="1" applyProtection="1">
      <protection hidden="1"/>
    </xf>
    <xf numFmtId="0" fontId="37" fillId="2" borderId="0" xfId="0" applyFont="1" applyFill="1" applyBorder="1" applyAlignment="1" applyProtection="1">
      <alignment horizontal="left"/>
      <protection hidden="1"/>
    </xf>
    <xf numFmtId="164" fontId="31" fillId="3" borderId="0" xfId="0" applyNumberFormat="1" applyFont="1" applyFill="1" applyBorder="1" applyProtection="1">
      <protection hidden="1"/>
    </xf>
    <xf numFmtId="164" fontId="31" fillId="3" borderId="17" xfId="0" applyNumberFormat="1" applyFont="1" applyFill="1" applyBorder="1" applyProtection="1">
      <protection hidden="1"/>
    </xf>
    <xf numFmtId="0" fontId="37" fillId="2" borderId="17" xfId="0" applyFont="1" applyFill="1" applyBorder="1" applyAlignment="1" applyProtection="1">
      <alignment horizontal="left"/>
      <protection hidden="1"/>
    </xf>
    <xf numFmtId="0" fontId="19" fillId="2" borderId="0" xfId="0" applyFont="1" applyFill="1" applyBorder="1" applyAlignment="1" applyProtection="1">
      <alignment horizontal="right"/>
      <protection hidden="1"/>
    </xf>
    <xf numFmtId="2" fontId="18" fillId="2" borderId="0" xfId="0" applyNumberFormat="1" applyFont="1" applyFill="1" applyBorder="1" applyAlignment="1" applyProtection="1">
      <alignment horizontal="right"/>
      <protection hidden="1"/>
    </xf>
    <xf numFmtId="0" fontId="19" fillId="2" borderId="17" xfId="0" applyFont="1" applyFill="1" applyBorder="1" applyAlignment="1" applyProtection="1">
      <alignment horizontal="right"/>
      <protection hidden="1"/>
    </xf>
    <xf numFmtId="164" fontId="31" fillId="2" borderId="17" xfId="0" applyNumberFormat="1" applyFont="1" applyFill="1" applyBorder="1" applyAlignment="1" applyProtection="1">
      <alignment horizontal="right"/>
      <protection hidden="1"/>
    </xf>
    <xf numFmtId="0" fontId="31" fillId="2" borderId="17" xfId="0" applyFont="1" applyFill="1" applyBorder="1" applyAlignment="1" applyProtection="1">
      <alignment horizontal="left"/>
      <protection hidden="1"/>
    </xf>
    <xf numFmtId="0" fontId="18" fillId="2" borderId="17" xfId="0" applyFont="1" applyFill="1" applyBorder="1" applyAlignment="1" applyProtection="1">
      <alignment horizontal="left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/>
      <protection hidden="1"/>
    </xf>
    <xf numFmtId="49" fontId="39" fillId="2" borderId="0" xfId="0" applyNumberFormat="1" applyFont="1" applyFill="1" applyBorder="1" applyAlignment="1" applyProtection="1">
      <alignment horizontal="center"/>
      <protection hidden="1"/>
    </xf>
    <xf numFmtId="49" fontId="39" fillId="2" borderId="0" xfId="0" applyNumberFormat="1" applyFont="1" applyFill="1" applyBorder="1" applyAlignment="1" applyProtection="1">
      <alignment horizontal="center" wrapText="1"/>
      <protection hidden="1"/>
    </xf>
    <xf numFmtId="169" fontId="18" fillId="2" borderId="16" xfId="0" applyNumberFormat="1" applyFont="1" applyFill="1" applyBorder="1" applyAlignment="1" applyProtection="1">
      <alignment horizontal="center"/>
      <protection hidden="1"/>
    </xf>
    <xf numFmtId="173" fontId="31" fillId="3" borderId="16" xfId="0" applyNumberFormat="1" applyFont="1" applyFill="1" applyBorder="1" applyAlignment="1" applyProtection="1">
      <alignment horizontal="center" vertical="center"/>
      <protection hidden="1"/>
    </xf>
    <xf numFmtId="169" fontId="18" fillId="2" borderId="0" xfId="0" applyNumberFormat="1" applyFont="1" applyFill="1" applyBorder="1" applyAlignment="1" applyProtection="1">
      <alignment horizontal="center"/>
      <protection hidden="1"/>
    </xf>
    <xf numFmtId="173" fontId="31" fillId="3" borderId="0" xfId="0" applyNumberFormat="1" applyFont="1" applyFill="1" applyBorder="1" applyAlignment="1" applyProtection="1">
      <alignment horizontal="center" vertical="center"/>
      <protection hidden="1"/>
    </xf>
    <xf numFmtId="169" fontId="18" fillId="2" borderId="17" xfId="0" applyNumberFormat="1" applyFont="1" applyFill="1" applyBorder="1" applyAlignment="1" applyProtection="1">
      <alignment horizontal="center"/>
      <protection hidden="1"/>
    </xf>
    <xf numFmtId="3" fontId="18" fillId="2" borderId="17" xfId="0" applyNumberFormat="1" applyFont="1" applyFill="1" applyBorder="1" applyAlignment="1" applyProtection="1">
      <alignment horizontal="center"/>
      <protection hidden="1"/>
    </xf>
    <xf numFmtId="3" fontId="31" fillId="2" borderId="17" xfId="0" applyNumberFormat="1" applyFont="1" applyFill="1" applyBorder="1" applyAlignment="1" applyProtection="1">
      <alignment horizontal="center"/>
      <protection hidden="1"/>
    </xf>
    <xf numFmtId="173" fontId="31" fillId="3" borderId="17" xfId="0" applyNumberFormat="1" applyFont="1" applyFill="1" applyBorder="1" applyAlignment="1" applyProtection="1">
      <alignment horizontal="center" vertical="center"/>
      <protection hidden="1"/>
    </xf>
    <xf numFmtId="10" fontId="31" fillId="2" borderId="17" xfId="0" applyNumberFormat="1" applyFont="1" applyFill="1" applyBorder="1" applyAlignment="1" applyProtection="1">
      <alignment horizontal="center" vertical="center"/>
      <protection hidden="1"/>
    </xf>
    <xf numFmtId="10" fontId="31" fillId="2" borderId="0" xfId="0" applyNumberFormat="1" applyFont="1" applyFill="1" applyBorder="1" applyAlignment="1" applyProtection="1">
      <alignment horizontal="center" vertical="center"/>
      <protection hidden="1"/>
    </xf>
    <xf numFmtId="3" fontId="19" fillId="2" borderId="18" xfId="0" applyNumberFormat="1" applyFont="1" applyFill="1" applyBorder="1" applyAlignment="1" applyProtection="1">
      <alignment horizontal="center" vertical="center"/>
      <protection hidden="1"/>
    </xf>
    <xf numFmtId="3" fontId="19" fillId="2" borderId="16" xfId="0" applyNumberFormat="1" applyFont="1" applyFill="1" applyBorder="1" applyAlignment="1" applyProtection="1">
      <alignment horizontal="center" vertical="center"/>
      <protection hidden="1"/>
    </xf>
    <xf numFmtId="3" fontId="19" fillId="2" borderId="16" xfId="0" applyNumberFormat="1" applyFont="1" applyFill="1" applyBorder="1" applyAlignment="1" applyProtection="1">
      <alignment horizontal="center" vertical="center"/>
      <protection hidden="1"/>
    </xf>
    <xf numFmtId="3" fontId="5" fillId="2" borderId="16" xfId="0" applyNumberFormat="1" applyFont="1" applyFill="1" applyBorder="1" applyAlignment="1" applyProtection="1">
      <alignment horizontal="center" vertical="center"/>
      <protection hidden="1"/>
    </xf>
    <xf numFmtId="3" fontId="19" fillId="2" borderId="16" xfId="0" applyNumberFormat="1" applyFont="1" applyFill="1" applyBorder="1" applyAlignment="1" applyProtection="1">
      <alignment horizontal="center"/>
      <protection hidden="1"/>
    </xf>
    <xf numFmtId="3" fontId="19" fillId="2" borderId="16" xfId="0" applyNumberFormat="1" applyFont="1" applyFill="1" applyBorder="1" applyAlignment="1" applyProtection="1">
      <alignment horizontal="center" vertical="center" wrapText="1"/>
      <protection hidden="1"/>
    </xf>
    <xf numFmtId="3" fontId="19" fillId="2" borderId="17" xfId="0" applyNumberFormat="1" applyFont="1" applyFill="1" applyBorder="1" applyAlignment="1" applyProtection="1">
      <alignment horizontal="center" vertical="center"/>
      <protection hidden="1"/>
    </xf>
    <xf numFmtId="3" fontId="39" fillId="2" borderId="0" xfId="0" applyNumberFormat="1" applyFont="1" applyFill="1" applyBorder="1" applyAlignment="1" applyProtection="1">
      <alignment horizontal="center"/>
      <protection hidden="1"/>
    </xf>
    <xf numFmtId="3" fontId="5" fillId="2" borderId="17" xfId="0" applyNumberFormat="1" applyFont="1" applyFill="1" applyBorder="1" applyAlignment="1" applyProtection="1">
      <alignment horizontal="center" vertical="center"/>
      <protection hidden="1"/>
    </xf>
    <xf numFmtId="3" fontId="39" fillId="2" borderId="0" xfId="0" applyNumberFormat="1" applyFont="1" applyFill="1" applyBorder="1" applyAlignment="1" applyProtection="1">
      <alignment horizontal="center" wrapText="1"/>
      <protection hidden="1"/>
    </xf>
    <xf numFmtId="3" fontId="19" fillId="2" borderId="17" xfId="0" applyNumberFormat="1" applyFont="1" applyFill="1" applyBorder="1" applyAlignment="1" applyProtection="1">
      <alignment horizontal="center" vertical="center"/>
      <protection hidden="1"/>
    </xf>
    <xf numFmtId="3" fontId="31" fillId="2" borderId="17" xfId="0" applyNumberFormat="1" applyFont="1" applyFill="1" applyBorder="1" applyAlignment="1" applyProtection="1">
      <alignment horizontal="center" vertical="center"/>
      <protection hidden="1"/>
    </xf>
    <xf numFmtId="164" fontId="31" fillId="3" borderId="0" xfId="0" applyNumberFormat="1" applyFont="1" applyFill="1" applyBorder="1" applyAlignment="1" applyProtection="1">
      <alignment horizontal="right"/>
      <protection hidden="1"/>
    </xf>
    <xf numFmtId="0" fontId="31" fillId="3" borderId="0" xfId="0" applyFont="1" applyFill="1" applyBorder="1" applyAlignment="1" applyProtection="1">
      <alignment horizontal="left"/>
      <protection hidden="1"/>
    </xf>
    <xf numFmtId="0" fontId="37" fillId="2" borderId="0" xfId="0" applyFont="1" applyFill="1" applyBorder="1" applyAlignment="1" applyProtection="1">
      <alignment horizontal="left" indent="1"/>
      <protection hidden="1"/>
    </xf>
    <xf numFmtId="49" fontId="37" fillId="2" borderId="0" xfId="0" applyNumberFormat="1" applyFont="1" applyFill="1" applyBorder="1" applyAlignment="1" applyProtection="1">
      <alignment horizontal="left" indent="1"/>
      <protection hidden="1"/>
    </xf>
    <xf numFmtId="1" fontId="18" fillId="2" borderId="17" xfId="0" applyNumberFormat="1" applyFont="1" applyFill="1" applyBorder="1" applyProtection="1">
      <protection hidden="1"/>
    </xf>
    <xf numFmtId="1" fontId="31" fillId="3" borderId="17" xfId="0" applyNumberFormat="1" applyFont="1" applyFill="1" applyBorder="1" applyAlignment="1" applyProtection="1">
      <alignment horizontal="right"/>
      <protection hidden="1"/>
    </xf>
    <xf numFmtId="0" fontId="31" fillId="3" borderId="17" xfId="0" applyFont="1" applyFill="1" applyBorder="1" applyAlignment="1" applyProtection="1">
      <alignment horizontal="left"/>
      <protection hidden="1"/>
    </xf>
    <xf numFmtId="49" fontId="37" fillId="2" borderId="17" xfId="0" applyNumberFormat="1" applyFont="1" applyFill="1" applyBorder="1" applyAlignment="1" applyProtection="1">
      <alignment horizontal="left" indent="1"/>
      <protection hidden="1"/>
    </xf>
    <xf numFmtId="164" fontId="18" fillId="3" borderId="0" xfId="0" applyNumberFormat="1" applyFont="1" applyFill="1" applyBorder="1" applyAlignment="1" applyProtection="1">
      <alignment horizontal="center"/>
      <protection hidden="1"/>
    </xf>
    <xf numFmtId="164" fontId="31" fillId="2" borderId="0" xfId="0" applyNumberFormat="1" applyFont="1" applyFill="1" applyBorder="1" applyAlignment="1" applyProtection="1">
      <alignment horizontal="center"/>
      <protection hidden="1"/>
    </xf>
    <xf numFmtId="164" fontId="18" fillId="3" borderId="17" xfId="0" applyNumberFormat="1" applyFont="1" applyFill="1" applyBorder="1" applyAlignment="1" applyProtection="1">
      <alignment horizontal="center"/>
      <protection hidden="1"/>
    </xf>
    <xf numFmtId="164" fontId="31" fillId="2" borderId="17" xfId="0" applyNumberFormat="1" applyFont="1" applyFill="1" applyBorder="1" applyAlignment="1" applyProtection="1">
      <alignment horizontal="center"/>
      <protection hidden="1"/>
    </xf>
    <xf numFmtId="164" fontId="18" fillId="2" borderId="0" xfId="0" applyNumberFormat="1" applyFont="1" applyFill="1" applyBorder="1" applyAlignment="1" applyProtection="1">
      <alignment horizontal="left"/>
      <protection hidden="1"/>
    </xf>
    <xf numFmtId="2" fontId="18" fillId="2" borderId="0" xfId="0" applyNumberFormat="1" applyFont="1" applyFill="1" applyBorder="1" applyAlignment="1" applyProtection="1">
      <alignment horizontal="left"/>
      <protection hidden="1"/>
    </xf>
    <xf numFmtId="164" fontId="31" fillId="2" borderId="17" xfId="0" applyNumberFormat="1" applyFont="1" applyFill="1" applyBorder="1" applyAlignment="1" applyProtection="1">
      <alignment horizontal="left"/>
      <protection hidden="1"/>
    </xf>
    <xf numFmtId="169" fontId="19" fillId="2" borderId="16" xfId="0" applyNumberFormat="1" applyFont="1" applyFill="1" applyBorder="1" applyAlignment="1" applyProtection="1">
      <alignment horizontal="center" vertical="center"/>
      <protection hidden="1"/>
    </xf>
    <xf numFmtId="169" fontId="19" fillId="2" borderId="17" xfId="0" applyNumberFormat="1" applyFont="1" applyFill="1" applyBorder="1" applyAlignment="1" applyProtection="1">
      <alignment horizontal="center" vertical="center"/>
      <protection hidden="1"/>
    </xf>
    <xf numFmtId="2" fontId="18" fillId="2" borderId="0" xfId="0" applyNumberFormat="1" applyFont="1" applyFill="1" applyBorder="1" applyAlignment="1" applyProtection="1">
      <alignment horizontal="center" vertical="center"/>
      <protection hidden="1"/>
    </xf>
    <xf numFmtId="2" fontId="18" fillId="2" borderId="17" xfId="0" applyNumberFormat="1" applyFont="1" applyFill="1" applyBorder="1" applyAlignment="1" applyProtection="1">
      <alignment horizontal="center" vertical="center"/>
      <protection hidden="1"/>
    </xf>
    <xf numFmtId="1" fontId="31" fillId="2" borderId="17" xfId="0" applyNumberFormat="1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right" vertical="center"/>
      <protection hidden="1"/>
    </xf>
    <xf numFmtId="2" fontId="0" fillId="2" borderId="16" xfId="0" applyNumberFormat="1" applyFill="1" applyBorder="1" applyProtection="1">
      <protection hidden="1"/>
    </xf>
    <xf numFmtId="0" fontId="31" fillId="2" borderId="17" xfId="0" applyFont="1" applyFill="1" applyBorder="1" applyAlignment="1" applyProtection="1">
      <alignment horizontal="right"/>
      <protection hidden="1"/>
    </xf>
    <xf numFmtId="2" fontId="31" fillId="2" borderId="17" xfId="0" applyNumberFormat="1" applyFont="1" applyFill="1" applyBorder="1" applyAlignment="1" applyProtection="1">
      <alignment horizontal="left"/>
      <protection hidden="1"/>
    </xf>
    <xf numFmtId="0" fontId="40" fillId="2" borderId="17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center"/>
      <protection hidden="1"/>
    </xf>
    <xf numFmtId="0" fontId="24" fillId="2" borderId="0" xfId="0" applyFont="1" applyFill="1" applyBorder="1" applyAlignment="1" applyProtection="1">
      <alignment horizontal="right"/>
      <protection hidden="1"/>
    </xf>
    <xf numFmtId="0" fontId="0" fillId="2" borderId="17" xfId="0" applyFill="1" applyBorder="1" applyAlignment="1" applyProtection="1">
      <alignment horizontal="right"/>
      <protection hidden="1"/>
    </xf>
    <xf numFmtId="0" fontId="0" fillId="2" borderId="11" xfId="0" applyFill="1" applyBorder="1" applyAlignment="1" applyProtection="1">
      <alignment horizontal="right"/>
      <protection hidden="1"/>
    </xf>
    <xf numFmtId="0" fontId="31" fillId="3" borderId="0" xfId="0" applyFont="1" applyFill="1" applyBorder="1" applyAlignment="1" applyProtection="1">
      <alignment horizontal="right"/>
      <protection hidden="1"/>
    </xf>
    <xf numFmtId="164" fontId="31" fillId="3" borderId="0" xfId="0" applyNumberFormat="1" applyFont="1" applyFill="1" applyBorder="1" applyAlignment="1" applyProtection="1">
      <alignment horizontal="center"/>
      <protection hidden="1"/>
    </xf>
    <xf numFmtId="0" fontId="40" fillId="2" borderId="0" xfId="0" applyFont="1" applyFill="1" applyBorder="1" applyAlignment="1" applyProtection="1">
      <alignment horizontal="left"/>
      <protection hidden="1"/>
    </xf>
    <xf numFmtId="0" fontId="31" fillId="3" borderId="17" xfId="0" applyFont="1" applyFill="1" applyBorder="1" applyAlignment="1" applyProtection="1">
      <alignment horizontal="right"/>
      <protection hidden="1"/>
    </xf>
    <xf numFmtId="164" fontId="31" fillId="3" borderId="17" xfId="0" applyNumberFormat="1" applyFont="1" applyFill="1" applyBorder="1" applyAlignment="1" applyProtection="1">
      <alignment horizontal="center"/>
      <protection hidden="1"/>
    </xf>
    <xf numFmtId="0" fontId="37" fillId="2" borderId="17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right"/>
      <protection hidden="1"/>
    </xf>
    <xf numFmtId="0" fontId="31" fillId="2" borderId="11" xfId="0" applyFont="1" applyFill="1" applyBorder="1" applyAlignment="1" applyProtection="1">
      <alignment horizontal="right"/>
      <protection hidden="1"/>
    </xf>
    <xf numFmtId="164" fontId="31" fillId="2" borderId="11" xfId="0" applyNumberFormat="1" applyFont="1" applyFill="1" applyBorder="1" applyAlignment="1" applyProtection="1">
      <alignment horizontal="center"/>
      <protection hidden="1"/>
    </xf>
    <xf numFmtId="0" fontId="37" fillId="2" borderId="11" xfId="0" applyFont="1" applyFill="1" applyBorder="1" applyAlignment="1" applyProtection="1">
      <protection hidden="1"/>
    </xf>
    <xf numFmtId="0" fontId="37" fillId="2" borderId="11" xfId="0" applyFont="1" applyFill="1" applyBorder="1" applyAlignment="1" applyProtection="1">
      <alignment horizontal="left"/>
      <protection hidden="1"/>
    </xf>
    <xf numFmtId="0" fontId="40" fillId="2" borderId="11" xfId="0" applyFont="1" applyFill="1" applyBorder="1" applyAlignment="1" applyProtection="1">
      <alignment horizontal="left"/>
      <protection hidden="1"/>
    </xf>
    <xf numFmtId="0" fontId="19" fillId="2" borderId="17" xfId="0" applyFont="1" applyFill="1" applyBorder="1" applyAlignment="1" applyProtection="1">
      <alignment horizontal="left" vertical="center"/>
      <protection hidden="1"/>
    </xf>
    <xf numFmtId="0" fontId="19" fillId="2" borderId="61" xfId="0" applyFont="1" applyFill="1" applyBorder="1" applyAlignment="1" applyProtection="1">
      <alignment horizontal="left" vertical="center" wrapText="1" indent="1"/>
      <protection hidden="1"/>
    </xf>
    <xf numFmtId="0" fontId="18" fillId="2" borderId="61" xfId="0" applyFont="1" applyFill="1" applyBorder="1" applyAlignment="1" applyProtection="1">
      <alignment horizontal="left" indent="2"/>
      <protection hidden="1"/>
    </xf>
    <xf numFmtId="9" fontId="18" fillId="2" borderId="61" xfId="0" applyNumberFormat="1" applyFont="1" applyFill="1" applyBorder="1" applyAlignment="1" applyProtection="1">
      <alignment horizontal="center"/>
      <protection hidden="1"/>
    </xf>
    <xf numFmtId="9" fontId="18" fillId="2" borderId="61" xfId="0" applyNumberFormat="1" applyFont="1" applyFill="1" applyBorder="1" applyAlignment="1" applyProtection="1">
      <alignment horizontal="left"/>
      <protection hidden="1"/>
    </xf>
    <xf numFmtId="0" fontId="37" fillId="2" borderId="61" xfId="0" applyFont="1" applyFill="1" applyBorder="1" applyAlignment="1" applyProtection="1">
      <alignment horizontal="left" indent="1"/>
      <protection hidden="1"/>
    </xf>
    <xf numFmtId="0" fontId="37" fillId="2" borderId="61" xfId="0" applyFont="1" applyFill="1" applyBorder="1" applyProtection="1">
      <protection hidden="1"/>
    </xf>
    <xf numFmtId="0" fontId="19" fillId="2" borderId="0" xfId="0" applyFont="1" applyFill="1" applyBorder="1" applyAlignment="1" applyProtection="1">
      <alignment horizontal="left" vertical="center" wrapText="1" indent="1"/>
      <protection hidden="1"/>
    </xf>
    <xf numFmtId="0" fontId="18" fillId="2" borderId="0" xfId="0" applyFont="1" applyFill="1" applyBorder="1" applyAlignment="1" applyProtection="1">
      <alignment horizontal="left" indent="2"/>
      <protection hidden="1"/>
    </xf>
    <xf numFmtId="9" fontId="18" fillId="2" borderId="0" xfId="0" applyNumberFormat="1" applyFont="1" applyFill="1" applyBorder="1" applyAlignment="1" applyProtection="1">
      <alignment horizontal="center"/>
      <protection hidden="1"/>
    </xf>
    <xf numFmtId="9" fontId="18" fillId="2" borderId="0" xfId="0" applyNumberFormat="1" applyFont="1" applyFill="1" applyBorder="1" applyAlignment="1" applyProtection="1">
      <alignment horizontal="left"/>
      <protection hidden="1"/>
    </xf>
    <xf numFmtId="0" fontId="19" fillId="2" borderId="62" xfId="0" applyFont="1" applyFill="1" applyBorder="1" applyAlignment="1" applyProtection="1">
      <alignment horizontal="left" vertical="center" wrapText="1" indent="1"/>
      <protection hidden="1"/>
    </xf>
    <xf numFmtId="0" fontId="18" fillId="2" borderId="62" xfId="0" applyFont="1" applyFill="1" applyBorder="1" applyAlignment="1" applyProtection="1">
      <alignment horizontal="left" indent="2"/>
      <protection hidden="1"/>
    </xf>
    <xf numFmtId="9" fontId="18" fillId="2" borderId="62" xfId="0" applyNumberFormat="1" applyFont="1" applyFill="1" applyBorder="1" applyAlignment="1" applyProtection="1">
      <alignment horizontal="center"/>
      <protection hidden="1"/>
    </xf>
    <xf numFmtId="9" fontId="18" fillId="2" borderId="62" xfId="0" applyNumberFormat="1" applyFont="1" applyFill="1" applyBorder="1" applyAlignment="1" applyProtection="1">
      <alignment horizontal="left"/>
      <protection hidden="1"/>
    </xf>
    <xf numFmtId="0" fontId="37" fillId="2" borderId="62" xfId="0" applyFont="1" applyFill="1" applyBorder="1" applyAlignment="1" applyProtection="1">
      <alignment horizontal="left" indent="1"/>
      <protection hidden="1"/>
    </xf>
    <xf numFmtId="0" fontId="37" fillId="2" borderId="62" xfId="0" applyFont="1" applyFill="1" applyBorder="1" applyProtection="1">
      <protection hidden="1"/>
    </xf>
    <xf numFmtId="0" fontId="19" fillId="2" borderId="63" xfId="0" applyFont="1" applyFill="1" applyBorder="1" applyAlignment="1" applyProtection="1">
      <alignment horizontal="left" vertical="center" wrapText="1" indent="1"/>
      <protection hidden="1"/>
    </xf>
    <xf numFmtId="0" fontId="31" fillId="2" borderId="0" xfId="0" applyFont="1" applyFill="1" applyBorder="1" applyAlignment="1" applyProtection="1">
      <alignment horizontal="left" indent="2"/>
      <protection hidden="1"/>
    </xf>
    <xf numFmtId="9" fontId="31" fillId="2" borderId="0" xfId="0" applyNumberFormat="1" applyFont="1" applyFill="1" applyBorder="1" applyAlignment="1" applyProtection="1">
      <alignment horizontal="center"/>
      <protection hidden="1"/>
    </xf>
    <xf numFmtId="9" fontId="31" fillId="2" borderId="0" xfId="0" applyNumberFormat="1" applyFont="1" applyFill="1" applyBorder="1" applyAlignment="1" applyProtection="1">
      <alignment horizontal="left"/>
      <protection hidden="1"/>
    </xf>
    <xf numFmtId="0" fontId="19" fillId="2" borderId="17" xfId="0" applyFont="1" applyFill="1" applyBorder="1" applyAlignment="1" applyProtection="1">
      <alignment horizontal="left" vertical="center" wrapText="1" indent="1"/>
      <protection hidden="1"/>
    </xf>
    <xf numFmtId="0" fontId="31" fillId="2" borderId="17" xfId="0" applyFont="1" applyFill="1" applyBorder="1" applyAlignment="1" applyProtection="1">
      <alignment horizontal="left" indent="2"/>
      <protection hidden="1"/>
    </xf>
    <xf numFmtId="9" fontId="31" fillId="2" borderId="17" xfId="0" applyNumberFormat="1" applyFont="1" applyFill="1" applyBorder="1" applyAlignment="1" applyProtection="1">
      <alignment horizontal="center"/>
      <protection hidden="1"/>
    </xf>
    <xf numFmtId="9" fontId="31" fillId="2" borderId="17" xfId="0" applyNumberFormat="1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36" fillId="2" borderId="0" xfId="0" applyFont="1" applyFill="1" applyBorder="1" applyAlignment="1" applyProtection="1">
      <alignment horizontal="left" indent="2"/>
      <protection hidden="1"/>
    </xf>
    <xf numFmtId="9" fontId="35" fillId="2" borderId="0" xfId="0" applyNumberFormat="1" applyFont="1" applyFill="1" applyBorder="1" applyAlignment="1" applyProtection="1">
      <alignment horizontal="center"/>
      <protection hidden="1"/>
    </xf>
    <xf numFmtId="9" fontId="35" fillId="2" borderId="0" xfId="0" applyNumberFormat="1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 indent="1"/>
      <protection hidden="1"/>
    </xf>
    <xf numFmtId="0" fontId="19" fillId="2" borderId="16" xfId="0" applyFont="1" applyFill="1" applyBorder="1" applyAlignment="1" applyProtection="1">
      <alignment horizontal="left" vertical="center" wrapText="1" indent="1"/>
      <protection hidden="1"/>
    </xf>
    <xf numFmtId="0" fontId="19" fillId="2" borderId="18" xfId="0" applyFont="1" applyFill="1" applyBorder="1" applyAlignment="1" applyProtection="1">
      <alignment horizontal="left" vertical="center"/>
      <protection hidden="1"/>
    </xf>
    <xf numFmtId="0" fontId="18" fillId="2" borderId="18" xfId="0" applyFont="1" applyFill="1" applyBorder="1" applyAlignment="1" applyProtection="1">
      <alignment horizontal="left" indent="1"/>
      <protection hidden="1"/>
    </xf>
    <xf numFmtId="0" fontId="18" fillId="2" borderId="18" xfId="0" applyFont="1" applyFill="1" applyBorder="1" applyProtection="1">
      <protection hidden="1"/>
    </xf>
    <xf numFmtId="0" fontId="31" fillId="2" borderId="18" xfId="0" applyFont="1" applyFill="1" applyBorder="1" applyAlignment="1" applyProtection="1">
      <alignment horizontal="left" indent="2"/>
      <protection hidden="1"/>
    </xf>
    <xf numFmtId="9" fontId="31" fillId="2" borderId="18" xfId="0" applyNumberFormat="1" applyFont="1" applyFill="1" applyBorder="1" applyAlignment="1" applyProtection="1">
      <alignment horizontal="center"/>
      <protection hidden="1"/>
    </xf>
    <xf numFmtId="9" fontId="31" fillId="2" borderId="18" xfId="0" applyNumberFormat="1" applyFont="1" applyFill="1" applyBorder="1" applyAlignment="1" applyProtection="1">
      <alignment horizontal="left"/>
      <protection hidden="1"/>
    </xf>
    <xf numFmtId="0" fontId="37" fillId="2" borderId="18" xfId="0" applyFont="1" applyFill="1" applyBorder="1" applyAlignment="1" applyProtection="1">
      <alignment horizontal="left" indent="1"/>
      <protection hidden="1"/>
    </xf>
    <xf numFmtId="0" fontId="37" fillId="2" borderId="18" xfId="0" applyFont="1" applyFill="1" applyBorder="1" applyProtection="1">
      <protection hidden="1"/>
    </xf>
    <xf numFmtId="49" fontId="37" fillId="2" borderId="17" xfId="0" applyNumberFormat="1" applyFont="1" applyFill="1" applyBorder="1" applyProtection="1">
      <protection hidden="1"/>
    </xf>
    <xf numFmtId="0" fontId="19" fillId="2" borderId="0" xfId="0" applyFont="1" applyFill="1" applyBorder="1" applyAlignment="1" applyProtection="1">
      <alignment vertical="center" wrapText="1"/>
      <protection hidden="1"/>
    </xf>
    <xf numFmtId="0" fontId="19" fillId="2" borderId="0" xfId="0" applyFont="1" applyFill="1" applyBorder="1" applyAlignment="1" applyProtection="1">
      <alignment horizontal="left" vertical="center" wrapText="1"/>
      <protection hidden="1"/>
    </xf>
    <xf numFmtId="0" fontId="39" fillId="2" borderId="0" xfId="0" applyFont="1" applyFill="1" applyBorder="1" applyAlignment="1" applyProtection="1">
      <alignment horizontal="left" vertical="center" wrapText="1"/>
      <protection hidden="1"/>
    </xf>
    <xf numFmtId="0" fontId="39" fillId="2" borderId="0" xfId="0" applyFont="1" applyFill="1" applyBorder="1" applyAlignment="1" applyProtection="1">
      <alignment vertical="center" wrapText="1"/>
      <protection hidden="1"/>
    </xf>
    <xf numFmtId="49" fontId="37" fillId="2" borderId="0" xfId="0" applyNumberFormat="1" applyFont="1" applyFill="1" applyBorder="1" applyProtection="1">
      <protection hidden="1"/>
    </xf>
    <xf numFmtId="0" fontId="19" fillId="2" borderId="0" xfId="0" applyFont="1" applyFill="1" applyBorder="1" applyAlignment="1" applyProtection="1">
      <alignment horizontal="left" vertical="center" wrapText="1" indent="1"/>
      <protection hidden="1"/>
    </xf>
    <xf numFmtId="0" fontId="31" fillId="2" borderId="11" xfId="0" applyFont="1" applyFill="1" applyBorder="1" applyAlignment="1" applyProtection="1">
      <alignment horizontal="left" indent="2"/>
      <protection hidden="1"/>
    </xf>
    <xf numFmtId="9" fontId="31" fillId="2" borderId="11" xfId="0" applyNumberFormat="1" applyFont="1" applyFill="1" applyBorder="1" applyAlignment="1" applyProtection="1">
      <alignment horizontal="center"/>
      <protection hidden="1"/>
    </xf>
    <xf numFmtId="9" fontId="31" fillId="2" borderId="11" xfId="0" applyNumberFormat="1" applyFont="1" applyFill="1" applyBorder="1" applyAlignment="1" applyProtection="1">
      <alignment horizontal="left"/>
      <protection hidden="1"/>
    </xf>
    <xf numFmtId="0" fontId="37" fillId="2" borderId="11" xfId="0" applyFont="1" applyFill="1" applyBorder="1" applyAlignment="1" applyProtection="1">
      <alignment horizontal="left" indent="1"/>
      <protection hidden="1"/>
    </xf>
    <xf numFmtId="0" fontId="37" fillId="2" borderId="11" xfId="0" applyFont="1" applyFill="1" applyBorder="1" applyProtection="1">
      <protection hidden="1"/>
    </xf>
    <xf numFmtId="49" fontId="37" fillId="2" borderId="11" xfId="0" applyNumberFormat="1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18" fillId="2" borderId="16" xfId="0" applyFont="1" applyFill="1" applyBorder="1" applyAlignment="1" applyProtection="1">
      <alignment horizontal="right" indent="2"/>
      <protection hidden="1"/>
    </xf>
    <xf numFmtId="173" fontId="18" fillId="2" borderId="16" xfId="0" applyNumberFormat="1" applyFont="1" applyFill="1" applyBorder="1" applyAlignment="1" applyProtection="1">
      <alignment horizontal="left"/>
      <protection hidden="1"/>
    </xf>
    <xf numFmtId="0" fontId="31" fillId="3" borderId="16" xfId="0" applyFont="1" applyFill="1" applyBorder="1" applyAlignment="1" applyProtection="1">
      <alignment horizontal="right" indent="1"/>
      <protection hidden="1"/>
    </xf>
    <xf numFmtId="2" fontId="31" fillId="3" borderId="16" xfId="0" applyNumberFormat="1" applyFont="1" applyFill="1" applyBorder="1" applyAlignment="1" applyProtection="1">
      <alignment horizontal="left"/>
      <protection hidden="1"/>
    </xf>
    <xf numFmtId="169" fontId="0" fillId="2" borderId="0" xfId="0" applyNumberFormat="1" applyFont="1" applyFill="1" applyBorder="1" applyAlignment="1" applyProtection="1">
      <alignment horizontal="left"/>
      <protection hidden="1"/>
    </xf>
    <xf numFmtId="169" fontId="0" fillId="2" borderId="16" xfId="0" applyNumberFormat="1" applyFont="1" applyFill="1" applyBorder="1" applyAlignment="1" applyProtection="1">
      <alignment horizontal="left"/>
      <protection hidden="1"/>
    </xf>
    <xf numFmtId="0" fontId="18" fillId="2" borderId="0" xfId="0" applyFont="1" applyFill="1" applyBorder="1" applyAlignment="1" applyProtection="1">
      <alignment horizontal="right" indent="2"/>
      <protection hidden="1"/>
    </xf>
    <xf numFmtId="173" fontId="18" fillId="2" borderId="0" xfId="0" applyNumberFormat="1" applyFont="1" applyFill="1" applyBorder="1" applyAlignment="1" applyProtection="1">
      <alignment horizontal="left"/>
      <protection hidden="1"/>
    </xf>
    <xf numFmtId="0" fontId="31" fillId="3" borderId="0" xfId="0" applyFont="1" applyFill="1" applyBorder="1" applyAlignment="1" applyProtection="1">
      <alignment horizontal="right" indent="1"/>
      <protection hidden="1"/>
    </xf>
    <xf numFmtId="2" fontId="31" fillId="3" borderId="0" xfId="0" applyNumberFormat="1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right"/>
      <protection hidden="1"/>
    </xf>
    <xf numFmtId="0" fontId="18" fillId="2" borderId="17" xfId="0" applyFont="1" applyFill="1" applyBorder="1" applyAlignment="1" applyProtection="1">
      <alignment horizontal="right" indent="2"/>
      <protection hidden="1"/>
    </xf>
    <xf numFmtId="173" fontId="18" fillId="2" borderId="17" xfId="0" applyNumberFormat="1" applyFont="1" applyFill="1" applyBorder="1" applyAlignment="1" applyProtection="1">
      <alignment horizontal="left"/>
      <protection hidden="1"/>
    </xf>
    <xf numFmtId="0" fontId="31" fillId="3" borderId="17" xfId="0" applyFont="1" applyFill="1" applyBorder="1" applyAlignment="1" applyProtection="1">
      <alignment horizontal="right" indent="1"/>
      <protection hidden="1"/>
    </xf>
    <xf numFmtId="2" fontId="31" fillId="3" borderId="17" xfId="0" applyNumberFormat="1" applyFont="1" applyFill="1" applyBorder="1" applyAlignment="1" applyProtection="1">
      <alignment horizontal="left"/>
      <protection hidden="1"/>
    </xf>
    <xf numFmtId="0" fontId="0" fillId="2" borderId="17" xfId="0" applyFont="1" applyFill="1" applyBorder="1" applyAlignment="1" applyProtection="1">
      <protection hidden="1"/>
    </xf>
    <xf numFmtId="169" fontId="0" fillId="2" borderId="17" xfId="0" applyNumberFormat="1" applyFont="1" applyFill="1" applyBorder="1" applyAlignment="1" applyProtection="1">
      <protection hidden="1"/>
    </xf>
    <xf numFmtId="169" fontId="0" fillId="2" borderId="17" xfId="0" applyNumberFormat="1" applyFont="1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 indent="1"/>
      <protection hidden="1"/>
    </xf>
    <xf numFmtId="0" fontId="0" fillId="2" borderId="0" xfId="0" applyFont="1" applyFill="1" applyAlignment="1" applyProtection="1">
      <alignment horizontal="left"/>
      <protection hidden="1"/>
    </xf>
    <xf numFmtId="164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31" fillId="2" borderId="17" xfId="0" applyFont="1" applyFill="1" applyBorder="1" applyAlignment="1" applyProtection="1">
      <alignment horizontal="center" vertical="center"/>
      <protection hidden="1"/>
    </xf>
    <xf numFmtId="164" fontId="31" fillId="2" borderId="17" xfId="0" applyNumberFormat="1" applyFont="1" applyFill="1" applyBorder="1" applyAlignment="1" applyProtection="1">
      <alignment horizontal="center" vertical="center"/>
      <protection hidden="1"/>
    </xf>
    <xf numFmtId="0" fontId="37" fillId="2" borderId="18" xfId="0" applyFont="1" applyFill="1" applyBorder="1" applyAlignment="1" applyProtection="1">
      <alignment horizontal="center" vertical="center"/>
      <protection hidden="1"/>
    </xf>
    <xf numFmtId="0" fontId="37" fillId="2" borderId="17" xfId="0" applyFont="1" applyFill="1" applyBorder="1" applyAlignment="1" applyProtection="1">
      <alignment horizontal="left" vertical="center"/>
      <protection hidden="1"/>
    </xf>
    <xf numFmtId="49" fontId="0" fillId="2" borderId="0" xfId="0" applyNumberFormat="1" applyFill="1" applyBorder="1" applyAlignment="1" applyProtection="1">
      <alignment horizontal="left"/>
      <protection hidden="1"/>
    </xf>
    <xf numFmtId="0" fontId="1" fillId="0" borderId="11" xfId="0" applyFont="1" applyBorder="1" applyProtection="1">
      <protection hidden="1"/>
    </xf>
    <xf numFmtId="49" fontId="0" fillId="2" borderId="11" xfId="0" applyNumberFormat="1" applyFill="1" applyBorder="1" applyAlignment="1" applyProtection="1">
      <alignment horizontal="left"/>
      <protection hidden="1"/>
    </xf>
    <xf numFmtId="0" fontId="19" fillId="2" borderId="17" xfId="0" applyFont="1" applyFill="1" applyBorder="1" applyAlignment="1" applyProtection="1">
      <alignment horizontal="center" wrapText="1"/>
      <protection hidden="1"/>
    </xf>
    <xf numFmtId="0" fontId="31" fillId="3" borderId="17" xfId="0" applyFont="1" applyFill="1" applyBorder="1" applyAlignment="1" applyProtection="1">
      <alignment horizontal="left" indent="1"/>
      <protection hidden="1"/>
    </xf>
    <xf numFmtId="1" fontId="31" fillId="3" borderId="17" xfId="0" applyNumberFormat="1" applyFont="1" applyFill="1" applyBorder="1" applyProtection="1">
      <protection hidden="1"/>
    </xf>
    <xf numFmtId="0" fontId="18" fillId="3" borderId="17" xfId="0" applyFont="1" applyFill="1" applyBorder="1" applyAlignment="1" applyProtection="1">
      <alignment horizontal="left" indent="1"/>
      <protection hidden="1"/>
    </xf>
    <xf numFmtId="0" fontId="31" fillId="2" borderId="17" xfId="0" applyFont="1" applyFill="1" applyBorder="1" applyAlignment="1" applyProtection="1">
      <alignment horizontal="left" indent="1"/>
      <protection hidden="1"/>
    </xf>
    <xf numFmtId="0" fontId="49" fillId="5" borderId="5" xfId="0" applyFont="1" applyFill="1" applyBorder="1" applyAlignment="1" applyProtection="1">
      <alignment horizontal="center" vertical="center" wrapText="1"/>
      <protection hidden="1"/>
    </xf>
    <xf numFmtId="0" fontId="49" fillId="5" borderId="6" xfId="0" applyFont="1" applyFill="1" applyBorder="1" applyAlignment="1" applyProtection="1">
      <alignment horizontal="center" vertical="center" wrapText="1"/>
      <protection hidden="1"/>
    </xf>
    <xf numFmtId="0" fontId="49" fillId="5" borderId="7" xfId="0" applyFont="1" applyFill="1" applyBorder="1" applyAlignment="1" applyProtection="1">
      <alignment horizontal="center" vertical="center" wrapText="1"/>
      <protection hidden="1"/>
    </xf>
    <xf numFmtId="0" fontId="49" fillId="5" borderId="8" xfId="0" applyFont="1" applyFill="1" applyBorder="1" applyAlignment="1" applyProtection="1">
      <alignment horizontal="center" vertical="center" wrapText="1"/>
      <protection hidden="1"/>
    </xf>
    <xf numFmtId="0" fontId="49" fillId="5" borderId="0" xfId="0" applyFont="1" applyFill="1" applyBorder="1" applyAlignment="1" applyProtection="1">
      <alignment horizontal="center" vertical="center" wrapText="1"/>
      <protection hidden="1"/>
    </xf>
    <xf numFmtId="0" fontId="49" fillId="5" borderId="9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Protection="1">
      <protection hidden="1"/>
    </xf>
    <xf numFmtId="0" fontId="18" fillId="2" borderId="16" xfId="0" applyFont="1" applyFill="1" applyBorder="1" applyAlignment="1" applyProtection="1">
      <alignment horizontal="right" vertical="center" indent="1"/>
      <protection hidden="1"/>
    </xf>
    <xf numFmtId="1" fontId="0" fillId="2" borderId="16" xfId="0" applyNumberFormat="1" applyFill="1" applyBorder="1" applyProtection="1">
      <protection hidden="1"/>
    </xf>
    <xf numFmtId="0" fontId="37" fillId="2" borderId="16" xfId="0" applyFont="1" applyFill="1" applyBorder="1" applyAlignment="1" applyProtection="1">
      <alignment horizontal="left" indent="1"/>
      <protection hidden="1"/>
    </xf>
    <xf numFmtId="0" fontId="37" fillId="2" borderId="16" xfId="0" applyFont="1" applyFill="1" applyBorder="1" applyProtection="1">
      <protection hidden="1"/>
    </xf>
    <xf numFmtId="0" fontId="37" fillId="2" borderId="16" xfId="0" applyFont="1" applyFill="1" applyBorder="1" applyAlignment="1" applyProtection="1">
      <alignment vertical="center"/>
      <protection hidden="1"/>
    </xf>
    <xf numFmtId="1" fontId="0" fillId="2" borderId="0" xfId="0" applyNumberFormat="1" applyFill="1" applyBorder="1" applyProtection="1">
      <protection hidden="1"/>
    </xf>
    <xf numFmtId="0" fontId="37" fillId="2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horizontal="right" vertical="center" indent="1"/>
      <protection hidden="1"/>
    </xf>
    <xf numFmtId="0" fontId="31" fillId="2" borderId="16" xfId="0" applyFont="1" applyFill="1" applyBorder="1" applyAlignment="1" applyProtection="1">
      <alignment horizontal="right" vertical="center" indent="1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31" fillId="2" borderId="17" xfId="0" applyFont="1" applyFill="1" applyBorder="1" applyAlignment="1" applyProtection="1">
      <alignment horizontal="right" vertical="center" indent="1"/>
      <protection hidden="1"/>
    </xf>
    <xf numFmtId="0" fontId="0" fillId="3" borderId="17" xfId="0" applyFill="1" applyBorder="1" applyProtection="1">
      <protection hidden="1"/>
    </xf>
    <xf numFmtId="0" fontId="0" fillId="3" borderId="17" xfId="0" applyFill="1" applyBorder="1" applyAlignment="1" applyProtection="1">
      <alignment horizontal="left"/>
      <protection hidden="1"/>
    </xf>
    <xf numFmtId="0" fontId="49" fillId="5" borderId="10" xfId="0" applyFont="1" applyFill="1" applyBorder="1" applyAlignment="1" applyProtection="1">
      <alignment horizontal="center" vertical="center" wrapText="1"/>
      <protection hidden="1"/>
    </xf>
    <xf numFmtId="0" fontId="49" fillId="5" borderId="11" xfId="0" applyFont="1" applyFill="1" applyBorder="1" applyAlignment="1" applyProtection="1">
      <alignment horizontal="center" vertical="center" wrapText="1"/>
      <protection hidden="1"/>
    </xf>
    <xf numFmtId="0" fontId="49" fillId="5" borderId="12" xfId="0" applyFont="1" applyFill="1" applyBorder="1" applyAlignment="1" applyProtection="1">
      <alignment horizontal="center" vertical="center" wrapText="1"/>
      <protection hidden="1"/>
    </xf>
    <xf numFmtId="0" fontId="15" fillId="2" borderId="17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Protection="1">
      <protection hidden="1"/>
    </xf>
    <xf numFmtId="0" fontId="19" fillId="2" borderId="0" xfId="0" applyFont="1" applyFill="1" applyBorder="1" applyAlignment="1" applyProtection="1">
      <alignment horizontal="left"/>
      <protection hidden="1"/>
    </xf>
    <xf numFmtId="0" fontId="15" fillId="2" borderId="0" xfId="0" applyFont="1" applyFill="1" applyBorder="1" applyAlignment="1" applyProtection="1">
      <protection hidden="1"/>
    </xf>
    <xf numFmtId="0" fontId="31" fillId="2" borderId="17" xfId="0" applyFont="1" applyFill="1" applyBorder="1" applyAlignment="1" applyProtection="1">
      <alignment horizontal="left" vertical="top" wrapText="1" indent="1"/>
      <protection hidden="1"/>
    </xf>
    <xf numFmtId="2" fontId="31" fillId="2" borderId="17" xfId="0" applyNumberFormat="1" applyFont="1" applyFill="1" applyBorder="1" applyProtection="1">
      <protection hidden="1"/>
    </xf>
    <xf numFmtId="0" fontId="16" fillId="2" borderId="17" xfId="0" applyFont="1" applyFill="1" applyBorder="1" applyAlignment="1" applyProtection="1">
      <alignment vertical="top" wrapText="1"/>
      <protection hidden="1"/>
    </xf>
    <xf numFmtId="0" fontId="15" fillId="2" borderId="17" xfId="0" applyFont="1" applyFill="1" applyBorder="1" applyAlignment="1" applyProtection="1">
      <protection hidden="1"/>
    </xf>
    <xf numFmtId="0" fontId="19" fillId="2" borderId="18" xfId="0" applyFont="1" applyFill="1" applyBorder="1" applyAlignment="1" applyProtection="1">
      <alignment horizontal="center" wrapText="1"/>
      <protection hidden="1"/>
    </xf>
    <xf numFmtId="0" fontId="19" fillId="2" borderId="0" xfId="0" applyFont="1" applyFill="1" applyBorder="1" applyAlignment="1" applyProtection="1">
      <alignment horizontal="center" wrapText="1"/>
      <protection hidden="1"/>
    </xf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49" fontId="39" fillId="2" borderId="0" xfId="0" applyNumberFormat="1" applyFont="1" applyFill="1" applyBorder="1" applyAlignment="1" applyProtection="1">
      <alignment horizontal="left"/>
      <protection hidden="1"/>
    </xf>
    <xf numFmtId="49" fontId="46" fillId="2" borderId="0" xfId="0" applyNumberFormat="1" applyFont="1" applyFill="1" applyBorder="1" applyAlignment="1" applyProtection="1">
      <alignment horizontal="center"/>
      <protection hidden="1"/>
    </xf>
    <xf numFmtId="49" fontId="39" fillId="2" borderId="17" xfId="0" applyNumberFormat="1" applyFont="1" applyFill="1" applyBorder="1" applyAlignment="1" applyProtection="1">
      <alignment horizontal="center"/>
      <protection hidden="1"/>
    </xf>
    <xf numFmtId="2" fontId="18" fillId="2" borderId="16" xfId="0" applyNumberFormat="1" applyFont="1" applyFill="1" applyBorder="1" applyAlignment="1" applyProtection="1">
      <alignment horizontal="left"/>
      <protection hidden="1"/>
    </xf>
    <xf numFmtId="2" fontId="18" fillId="2" borderId="17" xfId="0" applyNumberFormat="1" applyFont="1" applyFill="1" applyBorder="1" applyAlignment="1" applyProtection="1">
      <alignment horizontal="left"/>
      <protection hidden="1"/>
    </xf>
    <xf numFmtId="0" fontId="19" fillId="2" borderId="16" xfId="0" applyFont="1" applyFill="1" applyBorder="1" applyAlignment="1" applyProtection="1">
      <alignment horizontal="left" wrapText="1"/>
      <protection hidden="1"/>
    </xf>
    <xf numFmtId="49" fontId="19" fillId="2" borderId="17" xfId="0" applyNumberFormat="1" applyFont="1" applyFill="1" applyBorder="1" applyAlignment="1" applyProtection="1">
      <alignment horizontal="center"/>
      <protection hidden="1"/>
    </xf>
    <xf numFmtId="49" fontId="46" fillId="2" borderId="17" xfId="0" applyNumberFormat="1" applyFont="1" applyFill="1" applyBorder="1" applyAlignment="1" applyProtection="1">
      <alignment horizontal="center"/>
      <protection hidden="1"/>
    </xf>
    <xf numFmtId="49" fontId="19" fillId="2" borderId="17" xfId="0" applyNumberFormat="1" applyFont="1" applyFill="1" applyBorder="1" applyAlignment="1" applyProtection="1">
      <alignment horizontal="left"/>
      <protection hidden="1"/>
    </xf>
    <xf numFmtId="0" fontId="19" fillId="2" borderId="16" xfId="0" applyFont="1" applyFill="1" applyBorder="1" applyAlignment="1" applyProtection="1">
      <alignment wrapText="1"/>
      <protection hidden="1"/>
    </xf>
    <xf numFmtId="0" fontId="16" fillId="2" borderId="16" xfId="0" applyFont="1" applyFill="1" applyBorder="1" applyAlignment="1" applyProtection="1">
      <alignment horizontal="center"/>
      <protection hidden="1"/>
    </xf>
    <xf numFmtId="49" fontId="16" fillId="2" borderId="17" xfId="0" applyNumberFormat="1" applyFont="1" applyFill="1" applyBorder="1" applyAlignment="1" applyProtection="1">
      <alignment horizontal="center"/>
      <protection hidden="1"/>
    </xf>
    <xf numFmtId="169" fontId="31" fillId="2" borderId="0" xfId="0" applyNumberFormat="1" applyFont="1" applyFill="1" applyBorder="1" applyAlignment="1" applyProtection="1">
      <alignment horizontal="center"/>
      <protection hidden="1"/>
    </xf>
    <xf numFmtId="169" fontId="31" fillId="2" borderId="17" xfId="0" applyNumberFormat="1" applyFont="1" applyFill="1" applyBorder="1" applyAlignment="1" applyProtection="1">
      <alignment horizontal="center"/>
      <protection hidden="1"/>
    </xf>
    <xf numFmtId="2" fontId="0" fillId="2" borderId="16" xfId="0" applyNumberFormat="1" applyFill="1" applyBorder="1" applyAlignment="1" applyProtection="1">
      <alignment horizontal="center"/>
      <protection hidden="1"/>
    </xf>
    <xf numFmtId="2" fontId="35" fillId="2" borderId="16" xfId="0" applyNumberFormat="1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2" fontId="0" fillId="2" borderId="0" xfId="0" applyNumberFormat="1" applyFill="1" applyBorder="1" applyAlignment="1" applyProtection="1">
      <alignment horizontal="left"/>
      <protection hidden="1"/>
    </xf>
    <xf numFmtId="10" fontId="0" fillId="2" borderId="0" xfId="0" applyNumberFormat="1" applyFill="1" applyBorder="1" applyAlignment="1" applyProtection="1">
      <alignment horizontal="center" vertical="center"/>
      <protection hidden="1"/>
    </xf>
    <xf numFmtId="2" fontId="0" fillId="2" borderId="17" xfId="0" applyNumberFormat="1" applyFill="1" applyBorder="1" applyAlignment="1" applyProtection="1">
      <alignment horizontal="left"/>
      <protection hidden="1"/>
    </xf>
    <xf numFmtId="10" fontId="0" fillId="2" borderId="17" xfId="0" applyNumberFormat="1" applyFill="1" applyBorder="1" applyAlignment="1" applyProtection="1">
      <alignment horizontal="center" vertical="center"/>
      <protection hidden="1"/>
    </xf>
    <xf numFmtId="2" fontId="18" fillId="2" borderId="16" xfId="0" applyNumberFormat="1" applyFont="1" applyFill="1" applyBorder="1" applyAlignment="1" applyProtection="1">
      <alignment horizontal="right"/>
      <protection hidden="1"/>
    </xf>
    <xf numFmtId="2" fontId="18" fillId="2" borderId="16" xfId="0" applyNumberFormat="1" applyFont="1" applyFill="1" applyBorder="1" applyProtection="1">
      <protection hidden="1"/>
    </xf>
    <xf numFmtId="0" fontId="18" fillId="2" borderId="16" xfId="0" applyFont="1" applyFill="1" applyBorder="1" applyAlignment="1" applyProtection="1">
      <alignment horizontal="left"/>
      <protection hidden="1"/>
    </xf>
    <xf numFmtId="0" fontId="39" fillId="2" borderId="18" xfId="0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/>
      <protection hidden="1"/>
    </xf>
    <xf numFmtId="2" fontId="19" fillId="2" borderId="16" xfId="0" applyNumberFormat="1" applyFont="1" applyFill="1" applyBorder="1" applyAlignment="1" applyProtection="1">
      <alignment horizontal="center"/>
      <protection hidden="1"/>
    </xf>
    <xf numFmtId="49" fontId="37" fillId="2" borderId="16" xfId="0" applyNumberFormat="1" applyFont="1" applyFill="1" applyBorder="1" applyProtection="1">
      <protection hidden="1"/>
    </xf>
    <xf numFmtId="2" fontId="18" fillId="2" borderId="0" xfId="0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Border="1" applyAlignment="1" applyProtection="1">
      <alignment horizontal="left" vertical="center" wrapText="1"/>
      <protection hidden="1"/>
    </xf>
    <xf numFmtId="0" fontId="18" fillId="2" borderId="0" xfId="0" applyFont="1" applyFill="1" applyBorder="1" applyAlignment="1" applyProtection="1">
      <alignment vertical="center" wrapText="1"/>
      <protection hidden="1"/>
    </xf>
    <xf numFmtId="0" fontId="23" fillId="2" borderId="0" xfId="0" applyFont="1" applyFill="1" applyBorder="1" applyAlignment="1" applyProtection="1">
      <alignment vertical="center" wrapText="1"/>
      <protection hidden="1"/>
    </xf>
    <xf numFmtId="0" fontId="52" fillId="2" borderId="0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left" vertical="center" wrapText="1"/>
      <protection hidden="1"/>
    </xf>
    <xf numFmtId="0" fontId="0" fillId="2" borderId="0" xfId="0" applyFont="1" applyFill="1" applyBorder="1" applyAlignment="1" applyProtection="1">
      <alignment vertical="center" wrapText="1"/>
      <protection hidden="1"/>
    </xf>
    <xf numFmtId="0" fontId="23" fillId="2" borderId="16" xfId="0" applyFont="1" applyFill="1" applyBorder="1" applyAlignment="1" applyProtection="1">
      <alignment vertical="center" wrapText="1"/>
      <protection hidden="1"/>
    </xf>
    <xf numFmtId="0" fontId="52" fillId="2" borderId="16" xfId="0" applyFont="1" applyFill="1" applyBorder="1" applyAlignment="1" applyProtection="1">
      <alignment horizontal="center"/>
      <protection hidden="1"/>
    </xf>
    <xf numFmtId="0" fontId="0" fillId="2" borderId="16" xfId="0" applyFont="1" applyFill="1" applyBorder="1" applyAlignment="1" applyProtection="1">
      <alignment horizontal="left" vertical="center" wrapText="1"/>
      <protection hidden="1"/>
    </xf>
    <xf numFmtId="0" fontId="0" fillId="2" borderId="16" xfId="0" applyFont="1" applyFill="1" applyBorder="1" applyAlignment="1" applyProtection="1">
      <alignment vertical="center" wrapText="1"/>
      <protection hidden="1"/>
    </xf>
    <xf numFmtId="0" fontId="52" fillId="2" borderId="0" xfId="0" applyFont="1" applyFill="1" applyBorder="1" applyAlignment="1" applyProtection="1">
      <alignment horizontal="center"/>
      <protection hidden="1"/>
    </xf>
    <xf numFmtId="2" fontId="19" fillId="2" borderId="0" xfId="0" applyNumberFormat="1" applyFont="1" applyFill="1" applyBorder="1" applyAlignment="1" applyProtection="1">
      <alignment horizontal="center"/>
      <protection hidden="1"/>
    </xf>
    <xf numFmtId="0" fontId="23" fillId="2" borderId="17" xfId="0" applyFont="1" applyFill="1" applyBorder="1" applyAlignment="1" applyProtection="1">
      <alignment vertical="center" wrapText="1"/>
      <protection hidden="1"/>
    </xf>
    <xf numFmtId="0" fontId="52" fillId="2" borderId="17" xfId="0" applyFont="1" applyFill="1" applyBorder="1" applyAlignment="1" applyProtection="1">
      <alignment horizontal="center"/>
      <protection hidden="1"/>
    </xf>
    <xf numFmtId="0" fontId="0" fillId="2" borderId="17" xfId="0" applyFont="1" applyFill="1" applyBorder="1" applyAlignment="1" applyProtection="1">
      <alignment horizontal="left" vertical="center" wrapText="1"/>
      <protection hidden="1"/>
    </xf>
    <xf numFmtId="0" fontId="0" fillId="2" borderId="17" xfId="0" applyFont="1" applyFill="1" applyBorder="1" applyAlignment="1" applyProtection="1">
      <alignment vertical="center" wrapText="1"/>
      <protection hidden="1"/>
    </xf>
    <xf numFmtId="0" fontId="0" fillId="2" borderId="16" xfId="0" applyFont="1" applyFill="1" applyBorder="1" applyAlignment="1" applyProtection="1">
      <alignment horizontal="left"/>
      <protection hidden="1"/>
    </xf>
    <xf numFmtId="10" fontId="31" fillId="3" borderId="16" xfId="0" applyNumberFormat="1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10" fontId="31" fillId="3" borderId="0" xfId="0" applyNumberFormat="1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hidden="1"/>
    </xf>
    <xf numFmtId="0" fontId="3" fillId="5" borderId="11" xfId="0" applyFont="1" applyFill="1" applyBorder="1" applyAlignment="1" applyProtection="1">
      <alignment horizontal="center" vertical="center" wrapText="1"/>
      <protection hidden="1"/>
    </xf>
    <xf numFmtId="0" fontId="3" fillId="5" borderId="12" xfId="0" applyFont="1" applyFill="1" applyBorder="1" applyAlignment="1" applyProtection="1">
      <alignment horizontal="center" vertical="center" wrapText="1"/>
      <protection hidden="1"/>
    </xf>
    <xf numFmtId="0" fontId="52" fillId="2" borderId="18" xfId="0" applyFont="1" applyFill="1" applyBorder="1" applyAlignment="1" applyProtection="1">
      <alignment horizontal="center"/>
      <protection hidden="1"/>
    </xf>
    <xf numFmtId="0" fontId="30" fillId="2" borderId="16" xfId="0" applyFont="1" applyFill="1" applyBorder="1" applyAlignment="1" applyProtection="1">
      <alignment horizontal="center" vertical="center" wrapText="1"/>
      <protection hidden="1"/>
    </xf>
    <xf numFmtId="0" fontId="30" fillId="2" borderId="17" xfId="0" applyFont="1" applyFill="1" applyBorder="1" applyAlignment="1" applyProtection="1">
      <alignment horizontal="center" vertical="center" wrapText="1"/>
      <protection hidden="1"/>
    </xf>
    <xf numFmtId="2" fontId="31" fillId="2" borderId="0" xfId="0" applyNumberFormat="1" applyFont="1" applyFill="1" applyBorder="1" applyAlignment="1" applyProtection="1">
      <alignment horizontal="center" vertical="center"/>
      <protection hidden="1"/>
    </xf>
    <xf numFmtId="2" fontId="31" fillId="2" borderId="17" xfId="0" applyNumberFormat="1" applyFont="1" applyFill="1" applyBorder="1" applyAlignment="1" applyProtection="1">
      <alignment horizontal="center" vertical="center"/>
      <protection hidden="1"/>
    </xf>
    <xf numFmtId="49" fontId="19" fillId="2" borderId="17" xfId="0" applyNumberFormat="1" applyFont="1" applyFill="1" applyBorder="1" applyAlignment="1" applyProtection="1">
      <alignment horizontal="center" wrapText="1"/>
      <protection hidden="1"/>
    </xf>
    <xf numFmtId="1" fontId="3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wrapText="1"/>
      <protection hidden="1"/>
    </xf>
    <xf numFmtId="2" fontId="31" fillId="2" borderId="0" xfId="0" applyNumberFormat="1" applyFont="1" applyFill="1" applyBorder="1" applyAlignment="1" applyProtection="1">
      <alignment horizontal="left" vertical="center"/>
      <protection hidden="1"/>
    </xf>
    <xf numFmtId="2" fontId="31" fillId="2" borderId="17" xfId="0" applyNumberFormat="1" applyFont="1" applyFill="1" applyBorder="1" applyAlignment="1" applyProtection="1">
      <alignment horizontal="left" vertical="center"/>
      <protection hidden="1"/>
    </xf>
    <xf numFmtId="0" fontId="19" fillId="2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vertical="center" wrapText="1"/>
      <protection hidden="1"/>
    </xf>
    <xf numFmtId="0" fontId="19" fillId="2" borderId="0" xfId="0" applyFont="1" applyFill="1" applyBorder="1" applyAlignment="1" applyProtection="1">
      <alignment wrapText="1"/>
      <protection hidden="1"/>
    </xf>
    <xf numFmtId="0" fontId="19" fillId="2" borderId="16" xfId="0" applyFont="1" applyFill="1" applyBorder="1" applyAlignment="1" applyProtection="1">
      <alignment wrapText="1"/>
      <protection hidden="1"/>
    </xf>
    <xf numFmtId="0" fontId="19" fillId="2" borderId="17" xfId="0" applyFont="1" applyFill="1" applyBorder="1" applyAlignment="1" applyProtection="1">
      <alignment vertical="center" wrapText="1"/>
      <protection hidden="1"/>
    </xf>
    <xf numFmtId="49" fontId="19" fillId="2" borderId="17" xfId="0" applyNumberFormat="1" applyFont="1" applyFill="1" applyBorder="1" applyAlignment="1" applyProtection="1">
      <alignment wrapText="1"/>
      <protection hidden="1"/>
    </xf>
    <xf numFmtId="0" fontId="19" fillId="2" borderId="17" xfId="0" applyFont="1" applyFill="1" applyBorder="1" applyAlignment="1" applyProtection="1">
      <alignment vertical="center"/>
      <protection hidden="1"/>
    </xf>
    <xf numFmtId="169" fontId="18" fillId="2" borderId="0" xfId="0" applyNumberFormat="1" applyFont="1" applyFill="1" applyBorder="1" applyAlignment="1" applyProtection="1">
      <alignment vertical="center"/>
      <protection hidden="1"/>
    </xf>
    <xf numFmtId="1" fontId="31" fillId="2" borderId="0" xfId="0" applyNumberFormat="1" applyFont="1" applyFill="1" applyBorder="1" applyAlignment="1" applyProtection="1">
      <alignment vertical="center"/>
      <protection hidden="1"/>
    </xf>
    <xf numFmtId="169" fontId="18" fillId="2" borderId="17" xfId="0" applyNumberFormat="1" applyFont="1" applyFill="1" applyBorder="1" applyAlignment="1" applyProtection="1">
      <alignment vertical="center"/>
      <protection hidden="1"/>
    </xf>
    <xf numFmtId="1" fontId="31" fillId="2" borderId="17" xfId="0" applyNumberFormat="1" applyFont="1" applyFill="1" applyBorder="1" applyAlignment="1" applyProtection="1">
      <alignment vertical="center"/>
      <protection hidden="1"/>
    </xf>
    <xf numFmtId="0" fontId="43" fillId="2" borderId="16" xfId="0" applyFont="1" applyFill="1" applyBorder="1" applyAlignment="1" applyProtection="1">
      <alignment horizontal="center" wrapText="1"/>
      <protection hidden="1"/>
    </xf>
    <xf numFmtId="0" fontId="19" fillId="2" borderId="0" xfId="0" applyFont="1" applyFill="1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169" fontId="0" fillId="2" borderId="5" xfId="0" applyNumberFormat="1" applyFont="1" applyFill="1" applyBorder="1" applyAlignment="1" applyProtection="1">
      <alignment horizontal="center"/>
      <protection hidden="1"/>
    </xf>
    <xf numFmtId="169" fontId="0" fillId="2" borderId="9" xfId="0" applyNumberFormat="1" applyFont="1" applyFill="1" applyBorder="1" applyAlignment="1" applyProtection="1">
      <alignment horizontal="center"/>
      <protection hidden="1"/>
    </xf>
    <xf numFmtId="2" fontId="0" fillId="2" borderId="19" xfId="0" applyNumberFormat="1" applyFill="1" applyBorder="1" applyAlignment="1" applyProtection="1">
      <alignment horizontal="center"/>
      <protection hidden="1"/>
    </xf>
    <xf numFmtId="2" fontId="0" fillId="2" borderId="19" xfId="0" applyNumberFormat="1" applyFill="1" applyBorder="1" applyAlignment="1" applyProtection="1">
      <alignment horizontal="center" vertical="center"/>
      <protection hidden="1"/>
    </xf>
    <xf numFmtId="169" fontId="0" fillId="2" borderId="9" xfId="0" applyNumberFormat="1" applyFill="1" applyBorder="1" applyAlignment="1" applyProtection="1">
      <alignment horizontal="center" vertical="center"/>
      <protection hidden="1"/>
    </xf>
    <xf numFmtId="169" fontId="0" fillId="2" borderId="8" xfId="0" applyNumberFormat="1" applyFont="1" applyFill="1" applyBorder="1" applyAlignment="1" applyProtection="1">
      <alignment horizontal="center"/>
      <protection hidden="1"/>
    </xf>
    <xf numFmtId="2" fontId="0" fillId="2" borderId="14" xfId="0" applyNumberFormat="1" applyFill="1" applyBorder="1" applyAlignment="1" applyProtection="1">
      <alignment horizontal="center"/>
      <protection hidden="1"/>
    </xf>
    <xf numFmtId="2" fontId="0" fillId="2" borderId="14" xfId="0" applyNumberFormat="1" applyFill="1" applyBorder="1" applyAlignment="1" applyProtection="1">
      <alignment horizontal="center" vertical="center"/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174" fontId="0" fillId="2" borderId="0" xfId="0" applyNumberFormat="1" applyFill="1" applyProtection="1"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0" fillId="2" borderId="11" xfId="0" applyFont="1" applyFill="1" applyBorder="1" applyAlignment="1" applyProtection="1">
      <alignment horizontal="center"/>
      <protection hidden="1"/>
    </xf>
    <xf numFmtId="169" fontId="0" fillId="2" borderId="10" xfId="0" applyNumberFormat="1" applyFont="1" applyFill="1" applyBorder="1" applyAlignment="1" applyProtection="1">
      <alignment horizontal="center"/>
      <protection hidden="1"/>
    </xf>
    <xf numFmtId="169" fontId="0" fillId="2" borderId="12" xfId="0" applyNumberFormat="1" applyFont="1" applyFill="1" applyBorder="1" applyAlignment="1" applyProtection="1">
      <alignment horizontal="center"/>
      <protection hidden="1"/>
    </xf>
    <xf numFmtId="2" fontId="0" fillId="2" borderId="15" xfId="0" applyNumberFormat="1" applyFill="1" applyBorder="1" applyAlignment="1" applyProtection="1">
      <alignment horizont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164" fontId="0" fillId="2" borderId="12" xfId="0" applyNumberFormat="1" applyFill="1" applyBorder="1" applyAlignment="1" applyProtection="1">
      <alignment horizontal="center" vertical="center"/>
      <protection hidden="1"/>
    </xf>
    <xf numFmtId="0" fontId="26" fillId="10" borderId="18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Border="1" applyAlignment="1" applyProtection="1">
      <alignment horizontal="left" indent="1"/>
      <protection hidden="1"/>
    </xf>
    <xf numFmtId="2" fontId="18" fillId="2" borderId="0" xfId="0" applyNumberFormat="1" applyFont="1" applyFill="1" applyBorder="1" applyAlignment="1" applyProtection="1">
      <protection hidden="1"/>
    </xf>
    <xf numFmtId="2" fontId="18" fillId="2" borderId="17" xfId="0" applyNumberFormat="1" applyFont="1" applyFill="1" applyBorder="1" applyAlignment="1" applyProtection="1">
      <protection hidden="1"/>
    </xf>
    <xf numFmtId="2" fontId="31" fillId="2" borderId="16" xfId="0" applyNumberFormat="1" applyFont="1" applyFill="1" applyBorder="1" applyAlignment="1" applyProtection="1">
      <protection hidden="1"/>
    </xf>
    <xf numFmtId="0" fontId="31" fillId="2" borderId="16" xfId="0" applyFont="1" applyFill="1" applyBorder="1" applyAlignment="1" applyProtection="1">
      <protection hidden="1"/>
    </xf>
    <xf numFmtId="2" fontId="31" fillId="2" borderId="17" xfId="0" applyNumberFormat="1" applyFont="1" applyFill="1" applyBorder="1" applyAlignment="1" applyProtection="1">
      <protection hidden="1"/>
    </xf>
    <xf numFmtId="0" fontId="31" fillId="2" borderId="17" xfId="0" applyFont="1" applyFill="1" applyBorder="1" applyAlignment="1" applyProtection="1">
      <protection hidden="1"/>
    </xf>
    <xf numFmtId="2" fontId="0" fillId="2" borderId="52" xfId="0" applyNumberFormat="1" applyFill="1" applyBorder="1" applyAlignment="1" applyProtection="1">
      <protection hidden="1"/>
    </xf>
    <xf numFmtId="2" fontId="0" fillId="2" borderId="18" xfId="0" applyNumberFormat="1" applyFill="1" applyBorder="1" applyAlignment="1" applyProtection="1">
      <protection hidden="1"/>
    </xf>
    <xf numFmtId="0" fontId="0" fillId="8" borderId="53" xfId="0" applyFill="1" applyBorder="1" applyAlignment="1" applyProtection="1">
      <alignment horizontal="center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38" xfId="0" applyFill="1" applyBorder="1" applyAlignment="1" applyProtection="1">
      <alignment horizontal="center"/>
      <protection locked="0"/>
    </xf>
    <xf numFmtId="0" fontId="0" fillId="8" borderId="20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2" fontId="0" fillId="8" borderId="23" xfId="0" applyNumberFormat="1" applyFill="1" applyBorder="1" applyProtection="1"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0" fillId="8" borderId="44" xfId="0" applyFill="1" applyBorder="1" applyAlignment="1" applyProtection="1">
      <alignment horizontal="center"/>
      <protection locked="0"/>
    </xf>
    <xf numFmtId="0" fontId="0" fillId="8" borderId="54" xfId="0" applyFont="1" applyFill="1" applyBorder="1" applyAlignment="1" applyProtection="1">
      <protection locked="0"/>
    </xf>
    <xf numFmtId="169" fontId="0" fillId="8" borderId="56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59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57" xfId="0" applyNumberFormat="1" applyFont="1" applyFill="1" applyBorder="1" applyAlignment="1" applyProtection="1">
      <alignment horizontal="center"/>
      <protection locked="0"/>
    </xf>
    <xf numFmtId="169" fontId="0" fillId="8" borderId="49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25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45" xfId="0" applyNumberFormat="1" applyFont="1" applyFill="1" applyBorder="1" applyAlignment="1" applyProtection="1">
      <alignment horizontal="center"/>
      <protection locked="0"/>
    </xf>
    <xf numFmtId="169" fontId="0" fillId="8" borderId="31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29" xfId="0" applyNumberFormat="1" applyFont="1" applyFill="1" applyBorder="1" applyAlignment="1" applyProtection="1">
      <alignment horizontal="center" vertical="center" wrapText="1"/>
      <protection locked="0"/>
    </xf>
    <xf numFmtId="10" fontId="0" fillId="8" borderId="64" xfId="0" applyNumberFormat="1" applyFill="1" applyBorder="1" applyAlignment="1" applyProtection="1">
      <alignment horizontal="center"/>
      <protection locked="0"/>
    </xf>
    <xf numFmtId="164" fontId="0" fillId="8" borderId="5" xfId="0" applyNumberFormat="1" applyFill="1" applyBorder="1" applyAlignment="1" applyProtection="1">
      <alignment horizontal="center"/>
      <protection locked="0"/>
    </xf>
    <xf numFmtId="164" fontId="0" fillId="8" borderId="6" xfId="0" applyNumberFormat="1" applyFill="1" applyBorder="1" applyAlignment="1" applyProtection="1">
      <alignment horizontal="center"/>
      <protection locked="0"/>
    </xf>
    <xf numFmtId="164" fontId="0" fillId="8" borderId="46" xfId="0" applyNumberFormat="1" applyFill="1" applyBorder="1" applyAlignment="1" applyProtection="1">
      <alignment horizontal="center"/>
      <protection locked="0"/>
    </xf>
    <xf numFmtId="164" fontId="0" fillId="8" borderId="7" xfId="0" applyNumberFormat="1" applyFill="1" applyBorder="1" applyAlignment="1" applyProtection="1">
      <alignment horizontal="center"/>
      <protection locked="0"/>
    </xf>
    <xf numFmtId="164" fontId="0" fillId="8" borderId="8" xfId="0" applyNumberFormat="1" applyFill="1" applyBorder="1" applyAlignment="1" applyProtection="1">
      <alignment horizontal="center"/>
      <protection locked="0"/>
    </xf>
    <xf numFmtId="164" fontId="0" fillId="8" borderId="0" xfId="0" applyNumberFormat="1" applyFill="1" applyBorder="1" applyAlignment="1" applyProtection="1">
      <alignment horizontal="center"/>
      <protection locked="0"/>
    </xf>
    <xf numFmtId="164" fontId="0" fillId="8" borderId="22" xfId="0" applyNumberFormat="1" applyFill="1" applyBorder="1" applyAlignment="1" applyProtection="1">
      <alignment horizontal="center"/>
      <protection locked="0"/>
    </xf>
    <xf numFmtId="164" fontId="0" fillId="8" borderId="9" xfId="0" applyNumberFormat="1" applyFill="1" applyBorder="1" applyAlignment="1" applyProtection="1">
      <alignment horizontal="center"/>
      <protection locked="0"/>
    </xf>
    <xf numFmtId="164" fontId="0" fillId="8" borderId="10" xfId="0" applyNumberFormat="1" applyFill="1" applyBorder="1" applyAlignment="1" applyProtection="1">
      <alignment horizontal="center"/>
      <protection locked="0"/>
    </xf>
    <xf numFmtId="164" fontId="0" fillId="8" borderId="11" xfId="0" applyNumberFormat="1" applyFill="1" applyBorder="1" applyAlignment="1" applyProtection="1">
      <alignment horizontal="center"/>
      <protection locked="0"/>
    </xf>
    <xf numFmtId="164" fontId="0" fillId="8" borderId="47" xfId="0" applyNumberFormat="1" applyFill="1" applyBorder="1" applyAlignment="1" applyProtection="1">
      <alignment horizontal="center"/>
      <protection locked="0"/>
    </xf>
    <xf numFmtId="164" fontId="0" fillId="8" borderId="12" xfId="0" applyNumberFormat="1" applyFill="1" applyBorder="1" applyAlignment="1" applyProtection="1">
      <alignment horizontal="center"/>
      <protection locked="0"/>
    </xf>
    <xf numFmtId="2" fontId="18" fillId="8" borderId="0" xfId="0" applyNumberFormat="1" applyFont="1" applyFill="1" applyBorder="1" applyProtection="1">
      <protection locked="0"/>
    </xf>
    <xf numFmtId="2" fontId="18" fillId="8" borderId="0" xfId="0" applyNumberFormat="1" applyFont="1" applyFill="1" applyBorder="1" applyAlignment="1" applyProtection="1">
      <protection locked="0"/>
    </xf>
    <xf numFmtId="0" fontId="0" fillId="8" borderId="18" xfId="0" applyFill="1" applyBorder="1" applyProtection="1">
      <protection locked="0"/>
    </xf>
    <xf numFmtId="0" fontId="11" fillId="11" borderId="57" xfId="0" applyFont="1" applyFill="1" applyBorder="1" applyAlignment="1" applyProtection="1">
      <alignment horizontal="center" vertical="center" wrapText="1"/>
      <protection locked="0"/>
    </xf>
    <xf numFmtId="0" fontId="11" fillId="11" borderId="45" xfId="0" applyFont="1" applyFill="1" applyBorder="1" applyAlignment="1" applyProtection="1">
      <alignment horizontal="center" vertical="center" wrapText="1"/>
      <protection locked="0"/>
    </xf>
    <xf numFmtId="0" fontId="11" fillId="11" borderId="32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Protection="1">
      <protection locked="0"/>
    </xf>
    <xf numFmtId="0" fontId="0" fillId="8" borderId="17" xfId="0" applyFill="1" applyBorder="1" applyProtection="1">
      <protection locked="0"/>
    </xf>
    <xf numFmtId="1" fontId="19" fillId="8" borderId="0" xfId="0" applyNumberFormat="1" applyFont="1" applyFill="1" applyBorder="1" applyAlignment="1" applyProtection="1">
      <alignment horizontal="center"/>
      <protection locked="0"/>
    </xf>
    <xf numFmtId="1" fontId="19" fillId="8" borderId="17" xfId="0" applyNumberFormat="1" applyFont="1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alignment horizontal="left"/>
      <protection locked="0"/>
    </xf>
    <xf numFmtId="0" fontId="0" fillId="8" borderId="17" xfId="0" applyFill="1" applyBorder="1" applyAlignment="1" applyProtection="1">
      <alignment horizontal="left"/>
      <protection locked="0"/>
    </xf>
    <xf numFmtId="0" fontId="43" fillId="2" borderId="19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vertical="center"/>
    </xf>
    <xf numFmtId="0" fontId="0" fillId="2" borderId="14" xfId="0" applyFill="1" applyBorder="1"/>
    <xf numFmtId="0" fontId="43" fillId="2" borderId="14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left" vertical="center" indent="1"/>
    </xf>
    <xf numFmtId="0" fontId="0" fillId="0" borderId="65" xfId="0" applyBorder="1" applyProtection="1">
      <protection hidden="1"/>
    </xf>
    <xf numFmtId="0" fontId="0" fillId="2" borderId="65" xfId="0" applyFill="1" applyBorder="1" applyProtection="1">
      <protection hidden="1"/>
    </xf>
    <xf numFmtId="0" fontId="0" fillId="2" borderId="66" xfId="0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169" fontId="0" fillId="3" borderId="17" xfId="0" applyNumberFormat="1" applyFill="1" applyBorder="1" applyProtection="1"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Fuerzas</a:t>
            </a:r>
            <a:r>
              <a:rPr lang="es-ES" baseline="0"/>
              <a:t> Sismicas Laterales</a:t>
            </a:r>
            <a:endParaRPr lang="es-ES"/>
          </a:p>
        </c:rich>
      </c:tx>
      <c:layout>
        <c:manualLayout>
          <c:xMode val="edge"/>
          <c:yMode val="edge"/>
          <c:x val="0.1506248031496063"/>
          <c:y val="4.228331217503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0.2585214244752943"/>
          <c:y val="0.15053243557368476"/>
          <c:w val="0.63881577567823578"/>
          <c:h val="0.7390899651320990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3-4AD0-9235-FBFF1A4BD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 Prediseño'!$L$52:$L$59</c:f>
              <c:numCache>
                <c:formatCode>#,##0.00</c:formatCode>
                <c:ptCount val="8"/>
                <c:pt idx="0" formatCode="General">
                  <c:v>0</c:v>
                </c:pt>
                <c:pt idx="1">
                  <c:v>60.729984993012856</c:v>
                </c:pt>
                <c:pt idx="2">
                  <c:v>97.810836539936986</c:v>
                </c:pt>
                <c:pt idx="3">
                  <c:v>72.730834578420755</c:v>
                </c:pt>
                <c:pt idx="4">
                  <c:v>49.721593514951316</c:v>
                </c:pt>
                <c:pt idx="5">
                  <c:v>28.936188357240749</c:v>
                </c:pt>
                <c:pt idx="6" formatCode="General">
                  <c:v>12</c:v>
                </c:pt>
                <c:pt idx="7" formatCode="General">
                  <c:v>0</c:v>
                </c:pt>
              </c:numCache>
            </c:numRef>
          </c:xVal>
          <c:yVal>
            <c:numRef>
              <c:f>'1. Prediseño'!$M$52:$M$59</c:f>
              <c:numCache>
                <c:formatCode>General</c:formatCode>
                <c:ptCount val="8"/>
                <c:pt idx="0" formatCode="0.00">
                  <c:v>72</c:v>
                </c:pt>
                <c:pt idx="1">
                  <c:v>72</c:v>
                </c:pt>
                <c:pt idx="2">
                  <c:v>60</c:v>
                </c:pt>
                <c:pt idx="3">
                  <c:v>48</c:v>
                </c:pt>
                <c:pt idx="4">
                  <c:v>36</c:v>
                </c:pt>
                <c:pt idx="5">
                  <c:v>24</c:v>
                </c:pt>
                <c:pt idx="6">
                  <c:v>12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03-4AD0-9235-FBFF1A4B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06447408"/>
        <c:axId val="-2037999664"/>
      </c:scatterChart>
      <c:valAx>
        <c:axId val="-1606447408"/>
        <c:scaling>
          <c:orientation val="minMax"/>
          <c:max val="1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37999664"/>
        <c:crosses val="autoZero"/>
        <c:crossBetween val="midCat"/>
      </c:valAx>
      <c:valAx>
        <c:axId val="-20379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6447408"/>
        <c:crosses val="autoZero"/>
        <c:crossBetween val="midCat"/>
        <c:majorUnit val="1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 Fuerzas Laterales Equiv.'!$G$160:$G$166</c:f>
              <c:numCache>
                <c:formatCode>0.00</c:formatCode>
                <c:ptCount val="7"/>
                <c:pt idx="0">
                  <c:v>1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0.5</c:v>
                </c:pt>
                <c:pt idx="4">
                  <c:v>0.33333333333333331</c:v>
                </c:pt>
                <c:pt idx="5">
                  <c:v>0.16666666666666666</c:v>
                </c:pt>
                <c:pt idx="6">
                  <c:v>0</c:v>
                </c:pt>
              </c:numCache>
            </c:numRef>
          </c:xVal>
          <c:yVal>
            <c:numRef>
              <c:f>'3. Fuerzas Laterales Equiv.'!$E$160:$E$166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36</c:v>
                </c:pt>
                <c:pt idx="4">
                  <c:v>24</c:v>
                </c:pt>
                <c:pt idx="5">
                  <c:v>12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4-4F67-B3D1-DF751601054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'3. Fuerzas Laterales Equiv.'!$H$160:$H$166</c:f>
              <c:numCache>
                <c:formatCode>0.00</c:formatCode>
                <c:ptCount val="7"/>
                <c:pt idx="0">
                  <c:v>1</c:v>
                </c:pt>
                <c:pt idx="1">
                  <c:v>0.49084340686032418</c:v>
                </c:pt>
                <c:pt idx="2">
                  <c:v>-1.8313186279352366E-2</c:v>
                </c:pt>
                <c:pt idx="3">
                  <c:v>-0.5274697794190284</c:v>
                </c:pt>
                <c:pt idx="4">
                  <c:v>-1.0366263725587048</c:v>
                </c:pt>
                <c:pt idx="5">
                  <c:v>-1.5457829656983808</c:v>
                </c:pt>
                <c:pt idx="6">
                  <c:v>0</c:v>
                </c:pt>
              </c:numCache>
            </c:numRef>
          </c:xVal>
          <c:yVal>
            <c:numRef>
              <c:f>'3. Fuerzas Laterales Equiv.'!$E$160:$E$166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36</c:v>
                </c:pt>
                <c:pt idx="4">
                  <c:v>24</c:v>
                </c:pt>
                <c:pt idx="5">
                  <c:v>12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94-4F67-B3D1-DF751601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7995856"/>
        <c:axId val="-2037992048"/>
      </c:scatterChart>
      <c:valAx>
        <c:axId val="-203799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37992048"/>
        <c:crosses val="autoZero"/>
        <c:crossBetween val="midCat"/>
      </c:valAx>
      <c:valAx>
        <c:axId val="-20379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37995856"/>
        <c:crosses val="autoZero"/>
        <c:crossBetween val="midCat"/>
        <c:majorUnit val="1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FORMA</a:t>
            </a:r>
            <a:r>
              <a:rPr lang="es-ES" sz="1200" b="1" baseline="0"/>
              <a:t> DEL  MODO FUNDAMENTAL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0.13424115644670359"/>
          <c:y val="0.11148088949464087"/>
          <c:w val="0.78751297485482119"/>
          <c:h val="0.75440760890334813"/>
        </c:manualLayout>
      </c:layout>
      <c:scatterChart>
        <c:scatterStyle val="smoothMarker"/>
        <c:varyColors val="0"/>
        <c:ser>
          <c:idx val="0"/>
          <c:order val="0"/>
          <c:tx>
            <c:v>ASCE7 - Aproximación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 Fuerzas Laterales Equiv.'!$F$32:$F$38</c:f>
              <c:numCache>
                <c:formatCode>0.000</c:formatCode>
                <c:ptCount val="7"/>
                <c:pt idx="0">
                  <c:v>1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0.5</c:v>
                </c:pt>
                <c:pt idx="4">
                  <c:v>0.33333333333333331</c:v>
                </c:pt>
                <c:pt idx="5">
                  <c:v>0.16666666666666666</c:v>
                </c:pt>
                <c:pt idx="6">
                  <c:v>0</c:v>
                </c:pt>
              </c:numCache>
            </c:numRef>
          </c:xVal>
          <c:yVal>
            <c:numRef>
              <c:f>'3. Fuerzas Laterales Equiv.'!$D$32:$D$38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36</c:v>
                </c:pt>
                <c:pt idx="4">
                  <c:v>24</c:v>
                </c:pt>
                <c:pt idx="5">
                  <c:v>12</c:v>
                </c:pt>
                <c:pt idx="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30-4964-B970-70C58B292E96}"/>
            </c:ext>
          </c:extLst>
        </c:ser>
        <c:ser>
          <c:idx val="1"/>
          <c:order val="1"/>
          <c:tx>
            <c:v>Etabs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'3. Fuerzas Laterales Equiv.'!$G$32:$G$38</c:f>
              <c:numCache>
                <c:formatCode>0.000</c:formatCode>
                <c:ptCount val="7"/>
                <c:pt idx="0">
                  <c:v>1</c:v>
                </c:pt>
                <c:pt idx="1">
                  <c:v>0.88</c:v>
                </c:pt>
                <c:pt idx="2">
                  <c:v>0.71</c:v>
                </c:pt>
                <c:pt idx="3">
                  <c:v>0.49</c:v>
                </c:pt>
                <c:pt idx="4">
                  <c:v>0.27</c:v>
                </c:pt>
                <c:pt idx="5">
                  <c:v>0.09</c:v>
                </c:pt>
                <c:pt idx="6">
                  <c:v>0</c:v>
                </c:pt>
              </c:numCache>
            </c:numRef>
          </c:xVal>
          <c:yVal>
            <c:numRef>
              <c:f>'3. Fuerzas Laterales Equiv.'!$D$32:$D$38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36</c:v>
                </c:pt>
                <c:pt idx="4">
                  <c:v>24</c:v>
                </c:pt>
                <c:pt idx="5">
                  <c:v>12</c:v>
                </c:pt>
                <c:pt idx="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30-4964-B970-70C58B29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04972256"/>
        <c:axId val="-1904968992"/>
      </c:scatterChart>
      <c:valAx>
        <c:axId val="-190497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DESPLAZAMIENTO</a:t>
                </a:r>
                <a:r>
                  <a:rPr lang="es-ES" baseline="0"/>
                  <a:t> NORMALIZADO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904968992"/>
        <c:crosses val="autoZero"/>
        <c:crossBetween val="midCat"/>
      </c:valAx>
      <c:valAx>
        <c:axId val="-190496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ALTURA [ft]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904972256"/>
        <c:crosses val="autoZero"/>
        <c:crossBetween val="midCat"/>
        <c:majorUnit val="1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804824058561106"/>
          <c:y val="0.73709498919610916"/>
          <c:w val="0.3635625733033368"/>
          <c:h val="9.6144246803700831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ESPECTRO SISMICO</a:t>
            </a:r>
            <a:r>
              <a:rPr lang="es-ES" b="1" baseline="0"/>
              <a:t> ELASTICO DE ACELERACIONES</a:t>
            </a:r>
            <a:endParaRPr lang="es-ES" b="1"/>
          </a:p>
        </c:rich>
      </c:tx>
      <c:layout>
        <c:manualLayout>
          <c:xMode val="edge"/>
          <c:yMode val="edge"/>
          <c:x val="0.31600149556101609"/>
          <c:y val="3.430196983522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0.10272205140724351"/>
          <c:y val="0.12011963473065897"/>
          <c:w val="0.86527922373035815"/>
          <c:h val="0.73910008598042587"/>
        </c:manualLayout>
      </c:layout>
      <c:scatterChart>
        <c:scatterStyle val="smoothMarker"/>
        <c:varyColors val="0"/>
        <c:ser>
          <c:idx val="1"/>
          <c:order val="0"/>
          <c:tx>
            <c:v>Dinamico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 Espectro de Diseño'!$D$60:$D$863</c:f>
              <c:numCache>
                <c:formatCode>0.00</c:formatCode>
                <c:ptCount val="80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</c:numCache>
            </c:numRef>
          </c:xVal>
          <c:yVal>
            <c:numRef>
              <c:f>'1.1 Espectro de Diseño'!$H$60:$H$863</c:f>
              <c:numCache>
                <c:formatCode>0.00</c:formatCode>
                <c:ptCount val="804"/>
                <c:pt idx="0">
                  <c:v>0.4</c:v>
                </c:pt>
                <c:pt idx="1">
                  <c:v>0.45</c:v>
                </c:pt>
                <c:pt idx="2">
                  <c:v>0.5</c:v>
                </c:pt>
                <c:pt idx="3">
                  <c:v>0.55000000000000004</c:v>
                </c:pt>
                <c:pt idx="4">
                  <c:v>0.60000000000000009</c:v>
                </c:pt>
                <c:pt idx="5">
                  <c:v>0.65</c:v>
                </c:pt>
                <c:pt idx="6">
                  <c:v>0.7</c:v>
                </c:pt>
                <c:pt idx="7">
                  <c:v>0.75</c:v>
                </c:pt>
                <c:pt idx="8">
                  <c:v>0.8</c:v>
                </c:pt>
                <c:pt idx="9">
                  <c:v>0.85</c:v>
                </c:pt>
                <c:pt idx="10">
                  <c:v>0.9</c:v>
                </c:pt>
                <c:pt idx="11">
                  <c:v>0.95000000000000007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0.98360655737704894</c:v>
                </c:pt>
                <c:pt idx="62">
                  <c:v>0.96774193548387077</c:v>
                </c:pt>
                <c:pt idx="63">
                  <c:v>0.95238095238095222</c:v>
                </c:pt>
                <c:pt idx="64">
                  <c:v>0.93749999999999978</c:v>
                </c:pt>
                <c:pt idx="65">
                  <c:v>0.9230769230769228</c:v>
                </c:pt>
                <c:pt idx="66">
                  <c:v>0.90909090909090884</c:v>
                </c:pt>
                <c:pt idx="67">
                  <c:v>0.89552238805970119</c:v>
                </c:pt>
                <c:pt idx="68">
                  <c:v>0.88235294117647034</c:v>
                </c:pt>
                <c:pt idx="69">
                  <c:v>0.8695652173913041</c:v>
                </c:pt>
                <c:pt idx="70">
                  <c:v>0.85714285714285687</c:v>
                </c:pt>
                <c:pt idx="71">
                  <c:v>0.84507042253521114</c:v>
                </c:pt>
                <c:pt idx="72">
                  <c:v>0.83333333333333315</c:v>
                </c:pt>
                <c:pt idx="73">
                  <c:v>0.82191780821917793</c:v>
                </c:pt>
                <c:pt idx="74">
                  <c:v>0.81081081081081063</c:v>
                </c:pt>
                <c:pt idx="75">
                  <c:v>0.79999999999999982</c:v>
                </c:pt>
                <c:pt idx="76">
                  <c:v>0.78947368421052611</c:v>
                </c:pt>
                <c:pt idx="77">
                  <c:v>0.77922077922077904</c:v>
                </c:pt>
                <c:pt idx="78">
                  <c:v>0.76923076923076905</c:v>
                </c:pt>
                <c:pt idx="79">
                  <c:v>0.75949367088607578</c:v>
                </c:pt>
                <c:pt idx="80">
                  <c:v>0.74999999999999978</c:v>
                </c:pt>
                <c:pt idx="81">
                  <c:v>0.74074074074074048</c:v>
                </c:pt>
                <c:pt idx="82">
                  <c:v>0.73170731707317049</c:v>
                </c:pt>
                <c:pt idx="83">
                  <c:v>0.72289156626506001</c:v>
                </c:pt>
                <c:pt idx="84">
                  <c:v>0.71428571428571419</c:v>
                </c:pt>
                <c:pt idx="85">
                  <c:v>0.70588235294117629</c:v>
                </c:pt>
                <c:pt idx="86">
                  <c:v>0.69767441860465107</c:v>
                </c:pt>
                <c:pt idx="87">
                  <c:v>0.68965517241379293</c:v>
                </c:pt>
                <c:pt idx="88">
                  <c:v>0.68181818181818166</c:v>
                </c:pt>
                <c:pt idx="89">
                  <c:v>0.67415730337078639</c:v>
                </c:pt>
                <c:pt idx="90">
                  <c:v>0.66666666666666652</c:v>
                </c:pt>
                <c:pt idx="91">
                  <c:v>0.65934065934065922</c:v>
                </c:pt>
                <c:pt idx="92">
                  <c:v>0.65217391304347805</c:v>
                </c:pt>
                <c:pt idx="93">
                  <c:v>0.64516129032258052</c:v>
                </c:pt>
                <c:pt idx="94">
                  <c:v>0.63829787234042534</c:v>
                </c:pt>
                <c:pt idx="95">
                  <c:v>0.63157894736842091</c:v>
                </c:pt>
                <c:pt idx="96">
                  <c:v>0.62499999999999989</c:v>
                </c:pt>
                <c:pt idx="97">
                  <c:v>0.61855670103092775</c:v>
                </c:pt>
                <c:pt idx="98">
                  <c:v>0.61224489795918358</c:v>
                </c:pt>
                <c:pt idx="99">
                  <c:v>0.60606060606060597</c:v>
                </c:pt>
                <c:pt idx="100">
                  <c:v>0.59999999999999987</c:v>
                </c:pt>
                <c:pt idx="101">
                  <c:v>0.59405940594059392</c:v>
                </c:pt>
                <c:pt idx="102">
                  <c:v>0.58823529411764697</c:v>
                </c:pt>
                <c:pt idx="103">
                  <c:v>0.58252427184466005</c:v>
                </c:pt>
                <c:pt idx="104">
                  <c:v>0.57692307692307676</c:v>
                </c:pt>
                <c:pt idx="105">
                  <c:v>0.57142857142857129</c:v>
                </c:pt>
                <c:pt idx="106">
                  <c:v>0.56603773584905648</c:v>
                </c:pt>
                <c:pt idx="107">
                  <c:v>0.56074766355140171</c:v>
                </c:pt>
                <c:pt idx="108">
                  <c:v>0.55555555555555536</c:v>
                </c:pt>
                <c:pt idx="109">
                  <c:v>0.55045871559633008</c:v>
                </c:pt>
                <c:pt idx="110">
                  <c:v>0.5454545454545453</c:v>
                </c:pt>
                <c:pt idx="111">
                  <c:v>0.54054054054054035</c:v>
                </c:pt>
                <c:pt idx="112">
                  <c:v>0.53571428571428559</c:v>
                </c:pt>
                <c:pt idx="113">
                  <c:v>0.53097345132743345</c:v>
                </c:pt>
                <c:pt idx="114">
                  <c:v>0.52631578947368407</c:v>
                </c:pt>
                <c:pt idx="115">
                  <c:v>0.52173913043478248</c:v>
                </c:pt>
                <c:pt idx="116">
                  <c:v>0.51724137931034475</c:v>
                </c:pt>
                <c:pt idx="117">
                  <c:v>0.51282051282051277</c:v>
                </c:pt>
                <c:pt idx="118">
                  <c:v>0.50847457627118631</c:v>
                </c:pt>
                <c:pt idx="119">
                  <c:v>0.50420168067226878</c:v>
                </c:pt>
                <c:pt idx="120">
                  <c:v>0.49999999999999989</c:v>
                </c:pt>
                <c:pt idx="121">
                  <c:v>0.49586776859504123</c:v>
                </c:pt>
                <c:pt idx="122">
                  <c:v>0.49180327868852447</c:v>
                </c:pt>
                <c:pt idx="123">
                  <c:v>0.48780487804878037</c:v>
                </c:pt>
                <c:pt idx="124">
                  <c:v>0.48387096774193539</c:v>
                </c:pt>
                <c:pt idx="125">
                  <c:v>0.47999999999999987</c:v>
                </c:pt>
                <c:pt idx="126">
                  <c:v>0.47619047619047611</c:v>
                </c:pt>
                <c:pt idx="127">
                  <c:v>0.47244094488188965</c:v>
                </c:pt>
                <c:pt idx="128">
                  <c:v>0.46874999999999989</c:v>
                </c:pt>
                <c:pt idx="129">
                  <c:v>0.46511627906976732</c:v>
                </c:pt>
                <c:pt idx="130">
                  <c:v>0.4615384615384614</c:v>
                </c:pt>
                <c:pt idx="131">
                  <c:v>0.45801526717557239</c:v>
                </c:pt>
                <c:pt idx="132">
                  <c:v>0.45454545454545442</c:v>
                </c:pt>
                <c:pt idx="133">
                  <c:v>0.45112781954887204</c:v>
                </c:pt>
                <c:pt idx="134">
                  <c:v>0.4477611940298506</c:v>
                </c:pt>
                <c:pt idx="135">
                  <c:v>0.44444444444444431</c:v>
                </c:pt>
                <c:pt idx="136">
                  <c:v>0.44117647058823517</c:v>
                </c:pt>
                <c:pt idx="137">
                  <c:v>0.4379562043795619</c:v>
                </c:pt>
                <c:pt idx="138">
                  <c:v>0.43478260869565205</c:v>
                </c:pt>
                <c:pt idx="139">
                  <c:v>0.43165467625899268</c:v>
                </c:pt>
                <c:pt idx="140">
                  <c:v>0.42857142857142844</c:v>
                </c:pt>
                <c:pt idx="141">
                  <c:v>0.42553191489361697</c:v>
                </c:pt>
                <c:pt idx="142">
                  <c:v>0.42253521126760557</c:v>
                </c:pt>
                <c:pt idx="143">
                  <c:v>0.41958041958041953</c:v>
                </c:pt>
                <c:pt idx="144">
                  <c:v>0.41666666666666657</c:v>
                </c:pt>
                <c:pt idx="145">
                  <c:v>0.4137931034482758</c:v>
                </c:pt>
                <c:pt idx="146">
                  <c:v>0.41095890410958896</c:v>
                </c:pt>
                <c:pt idx="147">
                  <c:v>0.40816326530612235</c:v>
                </c:pt>
                <c:pt idx="148">
                  <c:v>0.40540540540540532</c:v>
                </c:pt>
                <c:pt idx="149">
                  <c:v>0.40268456375838918</c:v>
                </c:pt>
                <c:pt idx="150">
                  <c:v>0.39999999999999991</c:v>
                </c:pt>
                <c:pt idx="151">
                  <c:v>0.39735099337748336</c:v>
                </c:pt>
                <c:pt idx="152">
                  <c:v>0.39473684210526305</c:v>
                </c:pt>
                <c:pt idx="153">
                  <c:v>0.39215686274509792</c:v>
                </c:pt>
                <c:pt idx="154">
                  <c:v>0.38961038961038952</c:v>
                </c:pt>
                <c:pt idx="155">
                  <c:v>0.38709677419354827</c:v>
                </c:pt>
                <c:pt idx="156">
                  <c:v>0.38461538461538453</c:v>
                </c:pt>
                <c:pt idx="157">
                  <c:v>0.38216560509554132</c:v>
                </c:pt>
                <c:pt idx="158">
                  <c:v>0.37974683544303789</c:v>
                </c:pt>
                <c:pt idx="159">
                  <c:v>0.37735849056603765</c:v>
                </c:pt>
                <c:pt idx="160">
                  <c:v>0.37499999999999989</c:v>
                </c:pt>
                <c:pt idx="161">
                  <c:v>0.37267080745341602</c:v>
                </c:pt>
                <c:pt idx="162">
                  <c:v>0.37037037037037024</c:v>
                </c:pt>
                <c:pt idx="163">
                  <c:v>0.36809815950920233</c:v>
                </c:pt>
                <c:pt idx="164">
                  <c:v>0.36585365853658525</c:v>
                </c:pt>
                <c:pt idx="165">
                  <c:v>0.36363636363636354</c:v>
                </c:pt>
                <c:pt idx="166">
                  <c:v>0.36144578313253001</c:v>
                </c:pt>
                <c:pt idx="167">
                  <c:v>0.35928143712574845</c:v>
                </c:pt>
                <c:pt idx="168">
                  <c:v>0.3571428571428571</c:v>
                </c:pt>
                <c:pt idx="169">
                  <c:v>0.35502958579881649</c:v>
                </c:pt>
                <c:pt idx="170">
                  <c:v>0.35294117647058815</c:v>
                </c:pt>
                <c:pt idx="171">
                  <c:v>0.35087719298245607</c:v>
                </c:pt>
                <c:pt idx="172">
                  <c:v>0.34883720930232553</c:v>
                </c:pt>
                <c:pt idx="173">
                  <c:v>0.34682080924855485</c:v>
                </c:pt>
                <c:pt idx="174">
                  <c:v>0.34482758620689646</c:v>
                </c:pt>
                <c:pt idx="175">
                  <c:v>0.3428571428571428</c:v>
                </c:pt>
                <c:pt idx="176">
                  <c:v>0.34090909090909083</c:v>
                </c:pt>
                <c:pt idx="177">
                  <c:v>0.33898305084745756</c:v>
                </c:pt>
                <c:pt idx="178">
                  <c:v>0.33707865168539319</c:v>
                </c:pt>
                <c:pt idx="179">
                  <c:v>0.33519553072625691</c:v>
                </c:pt>
                <c:pt idx="180">
                  <c:v>0.33333333333333326</c:v>
                </c:pt>
                <c:pt idx="181">
                  <c:v>0.33149171270718225</c:v>
                </c:pt>
                <c:pt idx="182">
                  <c:v>0.32967032967032961</c:v>
                </c:pt>
                <c:pt idx="183">
                  <c:v>0.32786885245901631</c:v>
                </c:pt>
                <c:pt idx="184">
                  <c:v>0.32608695652173902</c:v>
                </c:pt>
                <c:pt idx="185">
                  <c:v>0.32432432432432423</c:v>
                </c:pt>
                <c:pt idx="186">
                  <c:v>0.32258064516129026</c:v>
                </c:pt>
                <c:pt idx="187">
                  <c:v>0.32085561497326193</c:v>
                </c:pt>
                <c:pt idx="188">
                  <c:v>0.31914893617021267</c:v>
                </c:pt>
                <c:pt idx="189">
                  <c:v>0.31746031746031739</c:v>
                </c:pt>
                <c:pt idx="190">
                  <c:v>0.31578947368421045</c:v>
                </c:pt>
                <c:pt idx="191">
                  <c:v>0.31413612565445015</c:v>
                </c:pt>
                <c:pt idx="192">
                  <c:v>0.31249999999999994</c:v>
                </c:pt>
                <c:pt idx="193">
                  <c:v>0.31088082901554398</c:v>
                </c:pt>
                <c:pt idx="194">
                  <c:v>0.30927835051546387</c:v>
                </c:pt>
                <c:pt idx="195">
                  <c:v>0.30769230769230765</c:v>
                </c:pt>
                <c:pt idx="196">
                  <c:v>0.30612244897959179</c:v>
                </c:pt>
                <c:pt idx="197">
                  <c:v>0.30456852791878164</c:v>
                </c:pt>
                <c:pt idx="198">
                  <c:v>0.30303030303030298</c:v>
                </c:pt>
                <c:pt idx="199">
                  <c:v>0.30150753768844213</c:v>
                </c:pt>
                <c:pt idx="200">
                  <c:v>0.29999999999999993</c:v>
                </c:pt>
                <c:pt idx="201">
                  <c:v>0.29850746268656708</c:v>
                </c:pt>
                <c:pt idx="202">
                  <c:v>0.29702970297029696</c:v>
                </c:pt>
                <c:pt idx="203">
                  <c:v>0.2955665024630541</c:v>
                </c:pt>
                <c:pt idx="204">
                  <c:v>0.29411764705882348</c:v>
                </c:pt>
                <c:pt idx="205">
                  <c:v>0.29268292682926828</c:v>
                </c:pt>
                <c:pt idx="206">
                  <c:v>0.29126213592233002</c:v>
                </c:pt>
                <c:pt idx="207">
                  <c:v>0.28985507246376807</c:v>
                </c:pt>
                <c:pt idx="208">
                  <c:v>0.28846153846153838</c:v>
                </c:pt>
                <c:pt idx="209">
                  <c:v>0.2870813397129186</c:v>
                </c:pt>
                <c:pt idx="210">
                  <c:v>0.28571428571428564</c:v>
                </c:pt>
                <c:pt idx="211">
                  <c:v>0.28436018957345965</c:v>
                </c:pt>
                <c:pt idx="212">
                  <c:v>0.28301886792452824</c:v>
                </c:pt>
                <c:pt idx="213">
                  <c:v>0.28169014084507038</c:v>
                </c:pt>
                <c:pt idx="214">
                  <c:v>0.28037383177570085</c:v>
                </c:pt>
                <c:pt idx="215">
                  <c:v>0.27906976744186041</c:v>
                </c:pt>
                <c:pt idx="216">
                  <c:v>0.27777777777777768</c:v>
                </c:pt>
                <c:pt idx="217">
                  <c:v>0.27649769585253453</c:v>
                </c:pt>
                <c:pt idx="218">
                  <c:v>0.27522935779816504</c:v>
                </c:pt>
                <c:pt idx="219">
                  <c:v>0.27397260273972596</c:v>
                </c:pt>
                <c:pt idx="220">
                  <c:v>0.27272727272727265</c:v>
                </c:pt>
                <c:pt idx="221">
                  <c:v>0.27149321266968318</c:v>
                </c:pt>
                <c:pt idx="222">
                  <c:v>0.27027027027027017</c:v>
                </c:pt>
                <c:pt idx="223">
                  <c:v>0.2690582959641255</c:v>
                </c:pt>
                <c:pt idx="224">
                  <c:v>0.26785714285714279</c:v>
                </c:pt>
                <c:pt idx="225">
                  <c:v>0.26666666666666661</c:v>
                </c:pt>
                <c:pt idx="226">
                  <c:v>0.26548672566371673</c:v>
                </c:pt>
                <c:pt idx="227">
                  <c:v>0.26431718061674003</c:v>
                </c:pt>
                <c:pt idx="228">
                  <c:v>0.26315789473684204</c:v>
                </c:pt>
                <c:pt idx="229">
                  <c:v>0.26200873362445409</c:v>
                </c:pt>
                <c:pt idx="230">
                  <c:v>0.26086956521739124</c:v>
                </c:pt>
                <c:pt idx="231">
                  <c:v>0.25974025974025966</c:v>
                </c:pt>
                <c:pt idx="232">
                  <c:v>0.25862068965517238</c:v>
                </c:pt>
                <c:pt idx="233">
                  <c:v>0.25751072961373384</c:v>
                </c:pt>
                <c:pt idx="234">
                  <c:v>0.25641025641025639</c:v>
                </c:pt>
                <c:pt idx="235">
                  <c:v>0.25531914893617014</c:v>
                </c:pt>
                <c:pt idx="236">
                  <c:v>0.25423728813559315</c:v>
                </c:pt>
                <c:pt idx="237">
                  <c:v>0.25316455696202522</c:v>
                </c:pt>
                <c:pt idx="238">
                  <c:v>0.25210084033613439</c:v>
                </c:pt>
                <c:pt idx="239">
                  <c:v>0.25104602510460244</c:v>
                </c:pt>
                <c:pt idx="240">
                  <c:v>0.24999999999999994</c:v>
                </c:pt>
                <c:pt idx="241">
                  <c:v>0.24896265560165967</c:v>
                </c:pt>
                <c:pt idx="242">
                  <c:v>0.24793388429752061</c:v>
                </c:pt>
                <c:pt idx="243">
                  <c:v>0.24691358024691351</c:v>
                </c:pt>
                <c:pt idx="244">
                  <c:v>0.24590163934426224</c:v>
                </c:pt>
                <c:pt idx="245">
                  <c:v>0.24489795918367341</c:v>
                </c:pt>
                <c:pt idx="246">
                  <c:v>0.24390243902439018</c:v>
                </c:pt>
                <c:pt idx="247">
                  <c:v>0.24291497975708495</c:v>
                </c:pt>
                <c:pt idx="248">
                  <c:v>0.24193548387096769</c:v>
                </c:pt>
                <c:pt idx="249">
                  <c:v>0.24096385542168666</c:v>
                </c:pt>
                <c:pt idx="250">
                  <c:v>0.23999999999999994</c:v>
                </c:pt>
                <c:pt idx="251">
                  <c:v>0.23904382470119515</c:v>
                </c:pt>
                <c:pt idx="252">
                  <c:v>0.23809523809523805</c:v>
                </c:pt>
                <c:pt idx="253">
                  <c:v>0.23715415019762839</c:v>
                </c:pt>
                <c:pt idx="254">
                  <c:v>0.23622047244094482</c:v>
                </c:pt>
                <c:pt idx="255">
                  <c:v>0.23529411764705874</c:v>
                </c:pt>
                <c:pt idx="256">
                  <c:v>0.23437499999999994</c:v>
                </c:pt>
                <c:pt idx="257">
                  <c:v>0.23346303501945523</c:v>
                </c:pt>
                <c:pt idx="258">
                  <c:v>0.23255813953488366</c:v>
                </c:pt>
                <c:pt idx="259">
                  <c:v>0.23166023166023161</c:v>
                </c:pt>
                <c:pt idx="260">
                  <c:v>0.2307692307692307</c:v>
                </c:pt>
                <c:pt idx="261">
                  <c:v>0.22988505747126434</c:v>
                </c:pt>
                <c:pt idx="262">
                  <c:v>0.2290076335877862</c:v>
                </c:pt>
                <c:pt idx="263">
                  <c:v>0.22813688212927752</c:v>
                </c:pt>
                <c:pt idx="264">
                  <c:v>0.22727272727272721</c:v>
                </c:pt>
                <c:pt idx="265">
                  <c:v>0.22641509433962259</c:v>
                </c:pt>
                <c:pt idx="266">
                  <c:v>0.22556390977443602</c:v>
                </c:pt>
                <c:pt idx="267">
                  <c:v>0.22471910112359547</c:v>
                </c:pt>
                <c:pt idx="268">
                  <c:v>0.2238805970149253</c:v>
                </c:pt>
                <c:pt idx="269">
                  <c:v>0.22304832713754644</c:v>
                </c:pt>
                <c:pt idx="270">
                  <c:v>0.22222222222222215</c:v>
                </c:pt>
                <c:pt idx="271">
                  <c:v>0.22140221402214016</c:v>
                </c:pt>
                <c:pt idx="272">
                  <c:v>0.22058823529411759</c:v>
                </c:pt>
                <c:pt idx="273">
                  <c:v>0.21978021978021972</c:v>
                </c:pt>
                <c:pt idx="274">
                  <c:v>0.21897810218978095</c:v>
                </c:pt>
                <c:pt idx="275">
                  <c:v>0.21818181818181814</c:v>
                </c:pt>
                <c:pt idx="276">
                  <c:v>0.21739130434782603</c:v>
                </c:pt>
                <c:pt idx="277">
                  <c:v>0.21660649819494579</c:v>
                </c:pt>
                <c:pt idx="278">
                  <c:v>0.21582733812949634</c:v>
                </c:pt>
                <c:pt idx="279">
                  <c:v>0.21505376344086016</c:v>
                </c:pt>
                <c:pt idx="280">
                  <c:v>0.21428571428571422</c:v>
                </c:pt>
                <c:pt idx="281">
                  <c:v>0.21352313167259782</c:v>
                </c:pt>
                <c:pt idx="282">
                  <c:v>0.21276595744680848</c:v>
                </c:pt>
                <c:pt idx="283">
                  <c:v>0.21201413427561833</c:v>
                </c:pt>
                <c:pt idx="284">
                  <c:v>0.21126760563380279</c:v>
                </c:pt>
                <c:pt idx="285">
                  <c:v>0.21052631578947364</c:v>
                </c:pt>
                <c:pt idx="286">
                  <c:v>0.20979020979020976</c:v>
                </c:pt>
                <c:pt idx="287">
                  <c:v>0.2090592334494773</c:v>
                </c:pt>
                <c:pt idx="288">
                  <c:v>0.20833333333333329</c:v>
                </c:pt>
                <c:pt idx="289">
                  <c:v>0.20761245674740478</c:v>
                </c:pt>
                <c:pt idx="290">
                  <c:v>0.2068965517241379</c:v>
                </c:pt>
                <c:pt idx="291">
                  <c:v>0.20618556701030921</c:v>
                </c:pt>
                <c:pt idx="292">
                  <c:v>0.20547945205479448</c:v>
                </c:pt>
                <c:pt idx="293">
                  <c:v>0.20477815699658697</c:v>
                </c:pt>
                <c:pt idx="294">
                  <c:v>0.20408163265306117</c:v>
                </c:pt>
                <c:pt idx="295">
                  <c:v>0.20338983050847451</c:v>
                </c:pt>
                <c:pt idx="296">
                  <c:v>0.20270270270270266</c:v>
                </c:pt>
                <c:pt idx="297">
                  <c:v>0.20202020202020196</c:v>
                </c:pt>
                <c:pt idx="298">
                  <c:v>0.20134228187919459</c:v>
                </c:pt>
                <c:pt idx="299">
                  <c:v>0.20066889632107018</c:v>
                </c:pt>
                <c:pt idx="300">
                  <c:v>0.19999999999999996</c:v>
                </c:pt>
                <c:pt idx="301">
                  <c:v>0.19933554817275742</c:v>
                </c:pt>
                <c:pt idx="302">
                  <c:v>0.19867549668874168</c:v>
                </c:pt>
                <c:pt idx="303">
                  <c:v>0.19801980198019795</c:v>
                </c:pt>
                <c:pt idx="304">
                  <c:v>0.19736842105263153</c:v>
                </c:pt>
                <c:pt idx="305">
                  <c:v>0.19672131147540978</c:v>
                </c:pt>
                <c:pt idx="306">
                  <c:v>0.19607843137254896</c:v>
                </c:pt>
                <c:pt idx="307">
                  <c:v>0.19543973941368073</c:v>
                </c:pt>
                <c:pt idx="308">
                  <c:v>0.19480519480519476</c:v>
                </c:pt>
                <c:pt idx="309">
                  <c:v>0.19417475728155337</c:v>
                </c:pt>
                <c:pt idx="310">
                  <c:v>0.19354838709677413</c:v>
                </c:pt>
                <c:pt idx="311">
                  <c:v>0.19292604501607713</c:v>
                </c:pt>
                <c:pt idx="312">
                  <c:v>0.19230769230769226</c:v>
                </c:pt>
                <c:pt idx="313">
                  <c:v>0.19169329073482425</c:v>
                </c:pt>
                <c:pt idx="314">
                  <c:v>0.19108280254777066</c:v>
                </c:pt>
                <c:pt idx="315">
                  <c:v>0.19047619047619044</c:v>
                </c:pt>
                <c:pt idx="316">
                  <c:v>0.18987341772151894</c:v>
                </c:pt>
                <c:pt idx="317">
                  <c:v>0.18927444794952678</c:v>
                </c:pt>
                <c:pt idx="318">
                  <c:v>0.18867924528301883</c:v>
                </c:pt>
                <c:pt idx="319">
                  <c:v>0.1880877742946708</c:v>
                </c:pt>
                <c:pt idx="320">
                  <c:v>0.18749999999999994</c:v>
                </c:pt>
                <c:pt idx="321">
                  <c:v>0.18691588785046725</c:v>
                </c:pt>
                <c:pt idx="322">
                  <c:v>0.18633540372670801</c:v>
                </c:pt>
                <c:pt idx="323">
                  <c:v>0.1857585139318885</c:v>
                </c:pt>
                <c:pt idx="324">
                  <c:v>0.18518518518518512</c:v>
                </c:pt>
                <c:pt idx="325">
                  <c:v>0.18461538461538457</c:v>
                </c:pt>
                <c:pt idx="326">
                  <c:v>0.18404907975460116</c:v>
                </c:pt>
                <c:pt idx="327">
                  <c:v>0.18348623853211005</c:v>
                </c:pt>
                <c:pt idx="328">
                  <c:v>0.18292682926829262</c:v>
                </c:pt>
                <c:pt idx="329">
                  <c:v>0.18237082066869298</c:v>
                </c:pt>
                <c:pt idx="330">
                  <c:v>0.18181818181818177</c:v>
                </c:pt>
                <c:pt idx="331">
                  <c:v>0.18126888217522655</c:v>
                </c:pt>
                <c:pt idx="332">
                  <c:v>0.180722891566265</c:v>
                </c:pt>
                <c:pt idx="333">
                  <c:v>0.18018018018018014</c:v>
                </c:pt>
                <c:pt idx="334">
                  <c:v>0.17964071856287422</c:v>
                </c:pt>
                <c:pt idx="335">
                  <c:v>0.17910447761194026</c:v>
                </c:pt>
                <c:pt idx="336">
                  <c:v>0.17857142857142855</c:v>
                </c:pt>
                <c:pt idx="337">
                  <c:v>0.17804154302670619</c:v>
                </c:pt>
                <c:pt idx="338">
                  <c:v>0.17751479289940825</c:v>
                </c:pt>
                <c:pt idx="339">
                  <c:v>0.17699115044247782</c:v>
                </c:pt>
                <c:pt idx="340">
                  <c:v>0.17647058823529407</c:v>
                </c:pt>
                <c:pt idx="341">
                  <c:v>0.17595307917888559</c:v>
                </c:pt>
                <c:pt idx="342">
                  <c:v>0.17543859649122803</c:v>
                </c:pt>
                <c:pt idx="343">
                  <c:v>0.17492711370262387</c:v>
                </c:pt>
                <c:pt idx="344">
                  <c:v>0.17441860465116277</c:v>
                </c:pt>
                <c:pt idx="345">
                  <c:v>0.17391304347826081</c:v>
                </c:pt>
                <c:pt idx="346">
                  <c:v>0.17341040462427743</c:v>
                </c:pt>
                <c:pt idx="347">
                  <c:v>0.17291066282420745</c:v>
                </c:pt>
                <c:pt idx="348">
                  <c:v>0.17241379310344823</c:v>
                </c:pt>
                <c:pt idx="349">
                  <c:v>0.17191977077363893</c:v>
                </c:pt>
                <c:pt idx="350">
                  <c:v>0.1714285714285714</c:v>
                </c:pt>
                <c:pt idx="351">
                  <c:v>0.17094017094017089</c:v>
                </c:pt>
                <c:pt idx="352">
                  <c:v>0.17045454545454541</c:v>
                </c:pt>
                <c:pt idx="353">
                  <c:v>0.16997167138810193</c:v>
                </c:pt>
                <c:pt idx="354">
                  <c:v>0.16949152542372878</c:v>
                </c:pt>
                <c:pt idx="355">
                  <c:v>0.16901408450704219</c:v>
                </c:pt>
                <c:pt idx="356">
                  <c:v>0.1685393258426966</c:v>
                </c:pt>
                <c:pt idx="357">
                  <c:v>0.16806722689075626</c:v>
                </c:pt>
                <c:pt idx="358">
                  <c:v>0.16759776536312845</c:v>
                </c:pt>
                <c:pt idx="359">
                  <c:v>0.16713091922005568</c:v>
                </c:pt>
                <c:pt idx="360">
                  <c:v>0.16666666666666663</c:v>
                </c:pt>
                <c:pt idx="361">
                  <c:v>0.16620498614958445</c:v>
                </c:pt>
                <c:pt idx="362">
                  <c:v>0.16574585635359113</c:v>
                </c:pt>
                <c:pt idx="363">
                  <c:v>0.16528925619834708</c:v>
                </c:pt>
                <c:pt idx="364">
                  <c:v>0.1648351648351648</c:v>
                </c:pt>
                <c:pt idx="365">
                  <c:v>0.16438356164383558</c:v>
                </c:pt>
                <c:pt idx="366">
                  <c:v>0.16393442622950816</c:v>
                </c:pt>
                <c:pt idx="367">
                  <c:v>0.1634877384196185</c:v>
                </c:pt>
                <c:pt idx="368">
                  <c:v>0.16304347826086951</c:v>
                </c:pt>
                <c:pt idx="369">
                  <c:v>0.16260162601626013</c:v>
                </c:pt>
                <c:pt idx="370">
                  <c:v>0.16216216216216212</c:v>
                </c:pt>
                <c:pt idx="371">
                  <c:v>0.1617250673854447</c:v>
                </c:pt>
                <c:pt idx="372">
                  <c:v>0.16129032258064513</c:v>
                </c:pt>
                <c:pt idx="373">
                  <c:v>0.16085790884718495</c:v>
                </c:pt>
                <c:pt idx="374">
                  <c:v>0.16042780748663096</c:v>
                </c:pt>
                <c:pt idx="375">
                  <c:v>0.15999999999999998</c:v>
                </c:pt>
                <c:pt idx="376">
                  <c:v>0.15957446808510634</c:v>
                </c:pt>
                <c:pt idx="377">
                  <c:v>0.15915119363395222</c:v>
                </c:pt>
                <c:pt idx="378">
                  <c:v>0.15873015873015869</c:v>
                </c:pt>
                <c:pt idx="379">
                  <c:v>0.15831134564643795</c:v>
                </c:pt>
                <c:pt idx="380">
                  <c:v>0.15789473684210523</c:v>
                </c:pt>
                <c:pt idx="381">
                  <c:v>0.15748031496062989</c:v>
                </c:pt>
                <c:pt idx="382">
                  <c:v>0.15706806282722507</c:v>
                </c:pt>
                <c:pt idx="383">
                  <c:v>0.15665796344647515</c:v>
                </c:pt>
                <c:pt idx="384">
                  <c:v>0.15624999999999997</c:v>
                </c:pt>
                <c:pt idx="385">
                  <c:v>0.15584415584415581</c:v>
                </c:pt>
                <c:pt idx="386">
                  <c:v>0.15544041450777199</c:v>
                </c:pt>
                <c:pt idx="387">
                  <c:v>0.15503875968992245</c:v>
                </c:pt>
                <c:pt idx="388">
                  <c:v>0.15463917525773194</c:v>
                </c:pt>
                <c:pt idx="389">
                  <c:v>0.15424164524421591</c:v>
                </c:pt>
                <c:pt idx="390">
                  <c:v>0.15384615384615383</c:v>
                </c:pt>
                <c:pt idx="391">
                  <c:v>0.15345268542199483</c:v>
                </c:pt>
                <c:pt idx="392">
                  <c:v>0.15306122448979589</c:v>
                </c:pt>
                <c:pt idx="393">
                  <c:v>0.15267175572519079</c:v>
                </c:pt>
                <c:pt idx="394">
                  <c:v>0.15228426395939082</c:v>
                </c:pt>
                <c:pt idx="395">
                  <c:v>0.15189873417721514</c:v>
                </c:pt>
                <c:pt idx="396">
                  <c:v>0.15151515151515149</c:v>
                </c:pt>
                <c:pt idx="397">
                  <c:v>0.1511335012594458</c:v>
                </c:pt>
                <c:pt idx="398">
                  <c:v>0.15075376884422106</c:v>
                </c:pt>
                <c:pt idx="399">
                  <c:v>0.15037593984962402</c:v>
                </c:pt>
                <c:pt idx="400">
                  <c:v>0.14999999999999997</c:v>
                </c:pt>
                <c:pt idx="401">
                  <c:v>0.14962593516209474</c:v>
                </c:pt>
                <c:pt idx="402">
                  <c:v>0.14925373134328354</c:v>
                </c:pt>
                <c:pt idx="403">
                  <c:v>0.14888337468982626</c:v>
                </c:pt>
                <c:pt idx="404">
                  <c:v>0.14851485148514848</c:v>
                </c:pt>
                <c:pt idx="405">
                  <c:v>0.14814814814814811</c:v>
                </c:pt>
                <c:pt idx="406">
                  <c:v>0.14778325123152705</c:v>
                </c:pt>
                <c:pt idx="407">
                  <c:v>0.14742014742014739</c:v>
                </c:pt>
                <c:pt idx="408">
                  <c:v>0.14705882352941174</c:v>
                </c:pt>
                <c:pt idx="409">
                  <c:v>0.14669926650366746</c:v>
                </c:pt>
                <c:pt idx="410">
                  <c:v>0.14634146341463414</c:v>
                </c:pt>
                <c:pt idx="411">
                  <c:v>0.14598540145985398</c:v>
                </c:pt>
                <c:pt idx="412">
                  <c:v>0.14563106796116501</c:v>
                </c:pt>
                <c:pt idx="413">
                  <c:v>0.14527845036319609</c:v>
                </c:pt>
                <c:pt idx="414">
                  <c:v>0.14492753623188404</c:v>
                </c:pt>
                <c:pt idx="415">
                  <c:v>0.14457831325301201</c:v>
                </c:pt>
                <c:pt idx="416">
                  <c:v>0.14423076923076919</c:v>
                </c:pt>
                <c:pt idx="417">
                  <c:v>0.1438848920863309</c:v>
                </c:pt>
                <c:pt idx="418">
                  <c:v>0.1435406698564593</c:v>
                </c:pt>
                <c:pt idx="419">
                  <c:v>0.14319809069212405</c:v>
                </c:pt>
                <c:pt idx="420">
                  <c:v>0.14285714285714282</c:v>
                </c:pt>
                <c:pt idx="421">
                  <c:v>0.14251781472684083</c:v>
                </c:pt>
                <c:pt idx="422">
                  <c:v>0.14218009478672983</c:v>
                </c:pt>
                <c:pt idx="423">
                  <c:v>0.14184397163120563</c:v>
                </c:pt>
                <c:pt idx="424">
                  <c:v>0.14150943396226412</c:v>
                </c:pt>
                <c:pt idx="425">
                  <c:v>0.14117647058823526</c:v>
                </c:pt>
                <c:pt idx="426">
                  <c:v>0.14084507042253519</c:v>
                </c:pt>
                <c:pt idx="427">
                  <c:v>0.14051522248243556</c:v>
                </c:pt>
                <c:pt idx="428">
                  <c:v>0.14018691588785043</c:v>
                </c:pt>
                <c:pt idx="429">
                  <c:v>0.13986013986013981</c:v>
                </c:pt>
                <c:pt idx="430">
                  <c:v>0.1395348837209302</c:v>
                </c:pt>
                <c:pt idx="431">
                  <c:v>0.13921113689095124</c:v>
                </c:pt>
                <c:pt idx="432">
                  <c:v>0.13888888888888884</c:v>
                </c:pt>
                <c:pt idx="433">
                  <c:v>0.138568129330254</c:v>
                </c:pt>
                <c:pt idx="434">
                  <c:v>0.13824884792626727</c:v>
                </c:pt>
                <c:pt idx="435">
                  <c:v>0.13793103448275856</c:v>
                </c:pt>
                <c:pt idx="436">
                  <c:v>0.13761467889908252</c:v>
                </c:pt>
                <c:pt idx="437">
                  <c:v>0.13729977116704803</c:v>
                </c:pt>
                <c:pt idx="438">
                  <c:v>0.13698630136986298</c:v>
                </c:pt>
                <c:pt idx="439">
                  <c:v>0.13667425968109337</c:v>
                </c:pt>
                <c:pt idx="440">
                  <c:v>0.13636363636363633</c:v>
                </c:pt>
                <c:pt idx="441">
                  <c:v>0.13605442176870744</c:v>
                </c:pt>
                <c:pt idx="442">
                  <c:v>0.13574660633484159</c:v>
                </c:pt>
                <c:pt idx="443">
                  <c:v>0.13544018058690743</c:v>
                </c:pt>
                <c:pt idx="444">
                  <c:v>0.13513513513513509</c:v>
                </c:pt>
                <c:pt idx="445">
                  <c:v>0.13483146067415727</c:v>
                </c:pt>
                <c:pt idx="446">
                  <c:v>0.13452914798206275</c:v>
                </c:pt>
                <c:pt idx="447">
                  <c:v>0.13422818791946306</c:v>
                </c:pt>
                <c:pt idx="448">
                  <c:v>0.1339285714285714</c:v>
                </c:pt>
                <c:pt idx="449">
                  <c:v>0.13363028953229394</c:v>
                </c:pt>
                <c:pt idx="450">
                  <c:v>0.1333333333333333</c:v>
                </c:pt>
                <c:pt idx="451">
                  <c:v>0.13303769401330376</c:v>
                </c:pt>
                <c:pt idx="452">
                  <c:v>0.13274336283185836</c:v>
                </c:pt>
                <c:pt idx="453">
                  <c:v>0.13245033112582777</c:v>
                </c:pt>
                <c:pt idx="454">
                  <c:v>0.13215859030837002</c:v>
                </c:pt>
                <c:pt idx="455">
                  <c:v>0.13186813186813184</c:v>
                </c:pt>
                <c:pt idx="456">
                  <c:v>0.13157894736842102</c:v>
                </c:pt>
                <c:pt idx="457">
                  <c:v>0.13129102844638946</c:v>
                </c:pt>
                <c:pt idx="458">
                  <c:v>0.13100436681222705</c:v>
                </c:pt>
                <c:pt idx="459">
                  <c:v>0.13071895424836599</c:v>
                </c:pt>
                <c:pt idx="460">
                  <c:v>0.13043478260869562</c:v>
                </c:pt>
                <c:pt idx="461">
                  <c:v>0.13015184381778738</c:v>
                </c:pt>
                <c:pt idx="462">
                  <c:v>0.12987012987012983</c:v>
                </c:pt>
                <c:pt idx="463">
                  <c:v>0.12958963282937364</c:v>
                </c:pt>
                <c:pt idx="464">
                  <c:v>0.12931034482758619</c:v>
                </c:pt>
                <c:pt idx="465">
                  <c:v>0.1290322580645161</c:v>
                </c:pt>
                <c:pt idx="466">
                  <c:v>0.12875536480686692</c:v>
                </c:pt>
                <c:pt idx="467">
                  <c:v>0.12847965738758027</c:v>
                </c:pt>
                <c:pt idx="468">
                  <c:v>0.12820512820512819</c:v>
                </c:pt>
                <c:pt idx="469">
                  <c:v>0.12793176972281445</c:v>
                </c:pt>
                <c:pt idx="470">
                  <c:v>0.12765957446808507</c:v>
                </c:pt>
                <c:pt idx="471">
                  <c:v>0.12738853503184711</c:v>
                </c:pt>
                <c:pt idx="472">
                  <c:v>0.12711864406779658</c:v>
                </c:pt>
                <c:pt idx="473">
                  <c:v>0.12684989429175472</c:v>
                </c:pt>
                <c:pt idx="474">
                  <c:v>0.12658227848101261</c:v>
                </c:pt>
                <c:pt idx="475">
                  <c:v>0.12631578947368419</c:v>
                </c:pt>
                <c:pt idx="476">
                  <c:v>0.1260504201680672</c:v>
                </c:pt>
                <c:pt idx="477">
                  <c:v>0.12578616352201255</c:v>
                </c:pt>
                <c:pt idx="478">
                  <c:v>0.12552301255230122</c:v>
                </c:pt>
                <c:pt idx="479">
                  <c:v>0.1252609603340292</c:v>
                </c:pt>
                <c:pt idx="480">
                  <c:v>0.12499999999999997</c:v>
                </c:pt>
                <c:pt idx="481">
                  <c:v>0.12474012474012471</c:v>
                </c:pt>
                <c:pt idx="482">
                  <c:v>0.12448132780082984</c:v>
                </c:pt>
                <c:pt idx="483">
                  <c:v>0.12422360248447202</c:v>
                </c:pt>
                <c:pt idx="484">
                  <c:v>0.12396694214876031</c:v>
                </c:pt>
                <c:pt idx="485">
                  <c:v>0.12371134020618553</c:v>
                </c:pt>
                <c:pt idx="486">
                  <c:v>0.12345679012345676</c:v>
                </c:pt>
                <c:pt idx="487">
                  <c:v>0.12320328542094452</c:v>
                </c:pt>
                <c:pt idx="488">
                  <c:v>0.12295081967213112</c:v>
                </c:pt>
                <c:pt idx="489">
                  <c:v>0.12269938650306747</c:v>
                </c:pt>
                <c:pt idx="490">
                  <c:v>0.1224489795918367</c:v>
                </c:pt>
                <c:pt idx="491">
                  <c:v>0.12219959266802441</c:v>
                </c:pt>
                <c:pt idx="492">
                  <c:v>0.12195121951219509</c:v>
                </c:pt>
                <c:pt idx="493">
                  <c:v>0.12170385395537524</c:v>
                </c:pt>
                <c:pt idx="494">
                  <c:v>0.12145748987854248</c:v>
                </c:pt>
                <c:pt idx="495">
                  <c:v>0.12121212121212119</c:v>
                </c:pt>
                <c:pt idx="496">
                  <c:v>0.12096774193548385</c:v>
                </c:pt>
                <c:pt idx="497">
                  <c:v>0.12072434607645874</c:v>
                </c:pt>
                <c:pt idx="498">
                  <c:v>0.12048192771084333</c:v>
                </c:pt>
                <c:pt idx="499">
                  <c:v>0.12024048096192382</c:v>
                </c:pt>
                <c:pt idx="500">
                  <c:v>0.11999999999999997</c:v>
                </c:pt>
                <c:pt idx="501">
                  <c:v>0.11976047904191614</c:v>
                </c:pt>
                <c:pt idx="502">
                  <c:v>0.11952191235059757</c:v>
                </c:pt>
                <c:pt idx="503">
                  <c:v>0.11928429423459241</c:v>
                </c:pt>
                <c:pt idx="504">
                  <c:v>0.11904761904761903</c:v>
                </c:pt>
                <c:pt idx="505">
                  <c:v>0.11881188118811879</c:v>
                </c:pt>
                <c:pt idx="506">
                  <c:v>0.1185770750988142</c:v>
                </c:pt>
                <c:pt idx="507">
                  <c:v>0.11834319526627216</c:v>
                </c:pt>
                <c:pt idx="508">
                  <c:v>0.11811023622047241</c:v>
                </c:pt>
                <c:pt idx="509">
                  <c:v>0.11787819253438112</c:v>
                </c:pt>
                <c:pt idx="510">
                  <c:v>0.11764705882352937</c:v>
                </c:pt>
                <c:pt idx="511">
                  <c:v>0.11741682974559683</c:v>
                </c:pt>
                <c:pt idx="512">
                  <c:v>0.11718749999999997</c:v>
                </c:pt>
                <c:pt idx="513">
                  <c:v>0.11695906432748536</c:v>
                </c:pt>
                <c:pt idx="514">
                  <c:v>0.11673151750972761</c:v>
                </c:pt>
                <c:pt idx="515">
                  <c:v>0.116504854368932</c:v>
                </c:pt>
                <c:pt idx="516">
                  <c:v>0.11627906976744183</c:v>
                </c:pt>
                <c:pt idx="517">
                  <c:v>0.11605415860735008</c:v>
                </c:pt>
                <c:pt idx="518">
                  <c:v>0.11583011583011581</c:v>
                </c:pt>
                <c:pt idx="519">
                  <c:v>0.11560693641618494</c:v>
                </c:pt>
                <c:pt idx="520">
                  <c:v>0.11538461538461535</c:v>
                </c:pt>
                <c:pt idx="521">
                  <c:v>0.11516314779270631</c:v>
                </c:pt>
                <c:pt idx="522">
                  <c:v>0.11494252873563217</c:v>
                </c:pt>
                <c:pt idx="523">
                  <c:v>0.11472275334608027</c:v>
                </c:pt>
                <c:pt idx="524">
                  <c:v>0.1145038167938931</c:v>
                </c:pt>
                <c:pt idx="525">
                  <c:v>0.11428571428571425</c:v>
                </c:pt>
                <c:pt idx="526">
                  <c:v>0.11406844106463876</c:v>
                </c:pt>
                <c:pt idx="527">
                  <c:v>0.11385199240986714</c:v>
                </c:pt>
                <c:pt idx="528">
                  <c:v>0.1136363636363636</c:v>
                </c:pt>
                <c:pt idx="529">
                  <c:v>0.11342155009451793</c:v>
                </c:pt>
                <c:pt idx="530">
                  <c:v>0.1132075471698113</c:v>
                </c:pt>
                <c:pt idx="531">
                  <c:v>0.11299435028248583</c:v>
                </c:pt>
                <c:pt idx="532">
                  <c:v>0.11278195488721801</c:v>
                </c:pt>
                <c:pt idx="533">
                  <c:v>0.11257035647279547</c:v>
                </c:pt>
                <c:pt idx="534">
                  <c:v>0.11235955056179774</c:v>
                </c:pt>
                <c:pt idx="535">
                  <c:v>0.11214953271028034</c:v>
                </c:pt>
                <c:pt idx="536">
                  <c:v>0.11194029850746265</c:v>
                </c:pt>
                <c:pt idx="537">
                  <c:v>0.11173184357541897</c:v>
                </c:pt>
                <c:pt idx="538">
                  <c:v>0.11152416356877322</c:v>
                </c:pt>
                <c:pt idx="539">
                  <c:v>0.11131725417439702</c:v>
                </c:pt>
                <c:pt idx="540">
                  <c:v>0.11111111111111108</c:v>
                </c:pt>
                <c:pt idx="541">
                  <c:v>0.11090573012938999</c:v>
                </c:pt>
                <c:pt idx="542">
                  <c:v>0.11070110701107008</c:v>
                </c:pt>
                <c:pt idx="543">
                  <c:v>0.11049723756906076</c:v>
                </c:pt>
                <c:pt idx="544">
                  <c:v>0.11029411764705879</c:v>
                </c:pt>
                <c:pt idx="545">
                  <c:v>0.11009174311926603</c:v>
                </c:pt>
                <c:pt idx="546">
                  <c:v>0.10989010989010986</c:v>
                </c:pt>
                <c:pt idx="547">
                  <c:v>0.10968921389396707</c:v>
                </c:pt>
                <c:pt idx="548">
                  <c:v>0.10948905109489047</c:v>
                </c:pt>
                <c:pt idx="549">
                  <c:v>0.10928961748633877</c:v>
                </c:pt>
                <c:pt idx="550">
                  <c:v>0.10909090909090907</c:v>
                </c:pt>
                <c:pt idx="551">
                  <c:v>0.10889292196007258</c:v>
                </c:pt>
                <c:pt idx="552">
                  <c:v>0.10869565217391301</c:v>
                </c:pt>
                <c:pt idx="553">
                  <c:v>0.10849909584086796</c:v>
                </c:pt>
                <c:pt idx="554">
                  <c:v>0.1083032490974729</c:v>
                </c:pt>
                <c:pt idx="555">
                  <c:v>0.10810810810810809</c:v>
                </c:pt>
                <c:pt idx="556">
                  <c:v>0.10791366906474817</c:v>
                </c:pt>
                <c:pt idx="557">
                  <c:v>0.10771992818671451</c:v>
                </c:pt>
                <c:pt idx="558">
                  <c:v>0.10752688172043008</c:v>
                </c:pt>
                <c:pt idx="559">
                  <c:v>0.10733452593917708</c:v>
                </c:pt>
                <c:pt idx="560">
                  <c:v>0.10714285714285711</c:v>
                </c:pt>
                <c:pt idx="561">
                  <c:v>0.10695187165775398</c:v>
                </c:pt>
                <c:pt idx="562">
                  <c:v>0.10676156583629891</c:v>
                </c:pt>
                <c:pt idx="563">
                  <c:v>0.10657193605683835</c:v>
                </c:pt>
                <c:pt idx="564">
                  <c:v>0.10638297872340424</c:v>
                </c:pt>
                <c:pt idx="565">
                  <c:v>0.1061946902654867</c:v>
                </c:pt>
                <c:pt idx="566">
                  <c:v>0.10600706713780916</c:v>
                </c:pt>
                <c:pt idx="567">
                  <c:v>0.1058201058201058</c:v>
                </c:pt>
                <c:pt idx="568">
                  <c:v>0.10563380281690139</c:v>
                </c:pt>
                <c:pt idx="569">
                  <c:v>0.10544815465729347</c:v>
                </c:pt>
                <c:pt idx="570">
                  <c:v>0.10526315789473682</c:v>
                </c:pt>
                <c:pt idx="571">
                  <c:v>0.1050788091068301</c:v>
                </c:pt>
                <c:pt idx="572">
                  <c:v>0.10489510489510488</c:v>
                </c:pt>
                <c:pt idx="573">
                  <c:v>0.10471204188481673</c:v>
                </c:pt>
                <c:pt idx="574">
                  <c:v>0.10452961672473865</c:v>
                </c:pt>
                <c:pt idx="575">
                  <c:v>0.1043478260869565</c:v>
                </c:pt>
                <c:pt idx="576">
                  <c:v>0.10416666666666664</c:v>
                </c:pt>
                <c:pt idx="577">
                  <c:v>0.10398613518197571</c:v>
                </c:pt>
                <c:pt idx="578">
                  <c:v>0.10380622837370239</c:v>
                </c:pt>
                <c:pt idx="579">
                  <c:v>0.10362694300518133</c:v>
                </c:pt>
                <c:pt idx="580">
                  <c:v>0.10344827586206895</c:v>
                </c:pt>
                <c:pt idx="581">
                  <c:v>0.10327022375215143</c:v>
                </c:pt>
                <c:pt idx="582">
                  <c:v>0.10309278350515461</c:v>
                </c:pt>
                <c:pt idx="583">
                  <c:v>0.10291595197255572</c:v>
                </c:pt>
                <c:pt idx="584">
                  <c:v>0.10273972602739724</c:v>
                </c:pt>
                <c:pt idx="585">
                  <c:v>0.10256410256410253</c:v>
                </c:pt>
                <c:pt idx="586">
                  <c:v>0.10238907849829348</c:v>
                </c:pt>
                <c:pt idx="587">
                  <c:v>0.10221465076660986</c:v>
                </c:pt>
                <c:pt idx="588">
                  <c:v>0.10204081632653059</c:v>
                </c:pt>
                <c:pt idx="589">
                  <c:v>0.10186757215619692</c:v>
                </c:pt>
                <c:pt idx="590">
                  <c:v>0.10169491525423725</c:v>
                </c:pt>
                <c:pt idx="591">
                  <c:v>0.10152284263959388</c:v>
                </c:pt>
                <c:pt idx="592">
                  <c:v>0.10135135135135133</c:v>
                </c:pt>
                <c:pt idx="593">
                  <c:v>0.1011804384485666</c:v>
                </c:pt>
                <c:pt idx="594">
                  <c:v>0.10101010101010098</c:v>
                </c:pt>
                <c:pt idx="595">
                  <c:v>0.10084033613445376</c:v>
                </c:pt>
                <c:pt idx="596">
                  <c:v>0.1006711409395973</c:v>
                </c:pt>
                <c:pt idx="597">
                  <c:v>0.10050251256281405</c:v>
                </c:pt>
                <c:pt idx="598">
                  <c:v>0.10033444816053509</c:v>
                </c:pt>
                <c:pt idx="599">
                  <c:v>0.10016694490818027</c:v>
                </c:pt>
                <c:pt idx="600">
                  <c:v>9.9999999999999978E-2</c:v>
                </c:pt>
                <c:pt idx="601">
                  <c:v>9.983361064891845E-2</c:v>
                </c:pt>
                <c:pt idx="602">
                  <c:v>9.966777408637871E-2</c:v>
                </c:pt>
                <c:pt idx="603">
                  <c:v>9.9502487562189032E-2</c:v>
                </c:pt>
                <c:pt idx="604">
                  <c:v>9.9337748344370841E-2</c:v>
                </c:pt>
                <c:pt idx="605">
                  <c:v>9.9173553719008239E-2</c:v>
                </c:pt>
                <c:pt idx="606">
                  <c:v>9.9009900990098973E-2</c:v>
                </c:pt>
                <c:pt idx="607">
                  <c:v>9.8846787479406895E-2</c:v>
                </c:pt>
                <c:pt idx="608">
                  <c:v>9.8684210526315763E-2</c:v>
                </c:pt>
                <c:pt idx="609">
                  <c:v>9.8522167487684706E-2</c:v>
                </c:pt>
                <c:pt idx="610">
                  <c:v>9.8360655737704888E-2</c:v>
                </c:pt>
                <c:pt idx="611">
                  <c:v>9.8199672667757754E-2</c:v>
                </c:pt>
                <c:pt idx="612">
                  <c:v>9.8039215686274481E-2</c:v>
                </c:pt>
                <c:pt idx="613">
                  <c:v>9.7879282218597041E-2</c:v>
                </c:pt>
                <c:pt idx="614">
                  <c:v>9.7719869706840365E-2</c:v>
                </c:pt>
                <c:pt idx="615">
                  <c:v>9.7560975609756073E-2</c:v>
                </c:pt>
                <c:pt idx="616">
                  <c:v>9.740259740259738E-2</c:v>
                </c:pt>
                <c:pt idx="617">
                  <c:v>9.724473257698539E-2</c:v>
                </c:pt>
                <c:pt idx="618">
                  <c:v>9.7087378640776684E-2</c:v>
                </c:pt>
                <c:pt idx="619">
                  <c:v>9.6930533117932122E-2</c:v>
                </c:pt>
                <c:pt idx="620">
                  <c:v>9.6774193548387066E-2</c:v>
                </c:pt>
                <c:pt idx="621">
                  <c:v>9.661835748792269E-2</c:v>
                </c:pt>
                <c:pt idx="622">
                  <c:v>9.6463022508038565E-2</c:v>
                </c:pt>
                <c:pt idx="623">
                  <c:v>9.6308186195826623E-2</c:v>
                </c:pt>
                <c:pt idx="624">
                  <c:v>9.6153846153846131E-2</c:v>
                </c:pt>
                <c:pt idx="625">
                  <c:v>9.5999999999999974E-2</c:v>
                </c:pt>
                <c:pt idx="626">
                  <c:v>9.5846645367412123E-2</c:v>
                </c:pt>
                <c:pt idx="627">
                  <c:v>9.5693779904306192E-2</c:v>
                </c:pt>
                <c:pt idx="628">
                  <c:v>9.5541401273885329E-2</c:v>
                </c:pt>
                <c:pt idx="629">
                  <c:v>9.5389507154213016E-2</c:v>
                </c:pt>
                <c:pt idx="630">
                  <c:v>9.5238095238095219E-2</c:v>
                </c:pt>
                <c:pt idx="631">
                  <c:v>9.5087163232963526E-2</c:v>
                </c:pt>
                <c:pt idx="632">
                  <c:v>9.4936708860759472E-2</c:v>
                </c:pt>
                <c:pt idx="633">
                  <c:v>9.4786729857819885E-2</c:v>
                </c:pt>
                <c:pt idx="634">
                  <c:v>9.4637223974763388E-2</c:v>
                </c:pt>
                <c:pt idx="635">
                  <c:v>9.4488188976377924E-2</c:v>
                </c:pt>
                <c:pt idx="636">
                  <c:v>9.4339622641509413E-2</c:v>
                </c:pt>
                <c:pt idx="637">
                  <c:v>9.4191522762951313E-2</c:v>
                </c:pt>
                <c:pt idx="638">
                  <c:v>9.40438871473354E-2</c:v>
                </c:pt>
                <c:pt idx="639">
                  <c:v>9.3896713615023442E-2</c:v>
                </c:pt>
                <c:pt idx="640">
                  <c:v>9.3749999999999972E-2</c:v>
                </c:pt>
                <c:pt idx="641">
                  <c:v>9.3603744149765966E-2</c:v>
                </c:pt>
                <c:pt idx="642">
                  <c:v>9.3457943925233627E-2</c:v>
                </c:pt>
                <c:pt idx="643">
                  <c:v>9.3312597200622072E-2</c:v>
                </c:pt>
                <c:pt idx="644">
                  <c:v>9.3167701863354005E-2</c:v>
                </c:pt>
                <c:pt idx="645">
                  <c:v>9.3023255813953459E-2</c:v>
                </c:pt>
                <c:pt idx="646">
                  <c:v>9.2879256965944249E-2</c:v>
                </c:pt>
                <c:pt idx="647">
                  <c:v>9.273570324574959E-2</c:v>
                </c:pt>
                <c:pt idx="648">
                  <c:v>9.259259259259256E-2</c:v>
                </c:pt>
                <c:pt idx="649">
                  <c:v>9.2449922958397518E-2</c:v>
                </c:pt>
                <c:pt idx="650">
                  <c:v>9.2307692307692285E-2</c:v>
                </c:pt>
                <c:pt idx="651">
                  <c:v>9.2165898617511496E-2</c:v>
                </c:pt>
                <c:pt idx="652">
                  <c:v>9.2024539877300582E-2</c:v>
                </c:pt>
                <c:pt idx="653">
                  <c:v>9.18836140888208E-2</c:v>
                </c:pt>
                <c:pt idx="654">
                  <c:v>9.1743119266055023E-2</c:v>
                </c:pt>
                <c:pt idx="655">
                  <c:v>9.160305343511449E-2</c:v>
                </c:pt>
                <c:pt idx="656">
                  <c:v>9.1463414634146312E-2</c:v>
                </c:pt>
                <c:pt idx="657">
                  <c:v>9.132420091324199E-2</c:v>
                </c:pt>
                <c:pt idx="658">
                  <c:v>9.1185410334346489E-2</c:v>
                </c:pt>
                <c:pt idx="659">
                  <c:v>9.1047040971168419E-2</c:v>
                </c:pt>
                <c:pt idx="660">
                  <c:v>9.0909090909090884E-2</c:v>
                </c:pt>
                <c:pt idx="661">
                  <c:v>9.0771558245083178E-2</c:v>
                </c:pt>
                <c:pt idx="662">
                  <c:v>9.0634441087613274E-2</c:v>
                </c:pt>
                <c:pt idx="663">
                  <c:v>9.049773755656107E-2</c:v>
                </c:pt>
                <c:pt idx="664">
                  <c:v>9.0361445783132502E-2</c:v>
                </c:pt>
                <c:pt idx="665">
                  <c:v>9.0225563909774417E-2</c:v>
                </c:pt>
                <c:pt idx="666">
                  <c:v>9.0090090090090072E-2</c:v>
                </c:pt>
                <c:pt idx="667">
                  <c:v>8.9955022488755601E-2</c:v>
                </c:pt>
                <c:pt idx="668">
                  <c:v>8.9820359281437112E-2</c:v>
                </c:pt>
                <c:pt idx="669">
                  <c:v>8.9686098654708502E-2</c:v>
                </c:pt>
                <c:pt idx="670">
                  <c:v>8.955223880597013E-2</c:v>
                </c:pt>
                <c:pt idx="671">
                  <c:v>8.9418777943368083E-2</c:v>
                </c:pt>
                <c:pt idx="672">
                  <c:v>8.9285714285714274E-2</c:v>
                </c:pt>
                <c:pt idx="673">
                  <c:v>8.9153046062407107E-2</c:v>
                </c:pt>
                <c:pt idx="674">
                  <c:v>8.9020771513353095E-2</c:v>
                </c:pt>
                <c:pt idx="675">
                  <c:v>8.8888888888888865E-2</c:v>
                </c:pt>
                <c:pt idx="676">
                  <c:v>8.8757396449704123E-2</c:v>
                </c:pt>
                <c:pt idx="677">
                  <c:v>8.8626292466765108E-2</c:v>
                </c:pt>
                <c:pt idx="678">
                  <c:v>8.8495575221238909E-2</c:v>
                </c:pt>
                <c:pt idx="679">
                  <c:v>8.836524300441824E-2</c:v>
                </c:pt>
                <c:pt idx="680">
                  <c:v>8.8235294117647037E-2</c:v>
                </c:pt>
                <c:pt idx="681">
                  <c:v>8.8105726872246673E-2</c:v>
                </c:pt>
                <c:pt idx="682">
                  <c:v>8.7976539589442793E-2</c:v>
                </c:pt>
                <c:pt idx="683">
                  <c:v>8.78477306002928E-2</c:v>
                </c:pt>
                <c:pt idx="684">
                  <c:v>8.7719298245614016E-2</c:v>
                </c:pt>
                <c:pt idx="685">
                  <c:v>8.7591240875912385E-2</c:v>
                </c:pt>
                <c:pt idx="686">
                  <c:v>8.7463556851311935E-2</c:v>
                </c:pt>
                <c:pt idx="687">
                  <c:v>8.7336244541484698E-2</c:v>
                </c:pt>
                <c:pt idx="688">
                  <c:v>8.7209302325581384E-2</c:v>
                </c:pt>
                <c:pt idx="689">
                  <c:v>8.7082728592162525E-2</c:v>
                </c:pt>
                <c:pt idx="690">
                  <c:v>8.6956521739130405E-2</c:v>
                </c:pt>
                <c:pt idx="691">
                  <c:v>8.6830680173661343E-2</c:v>
                </c:pt>
                <c:pt idx="692">
                  <c:v>8.6705202312138713E-2</c:v>
                </c:pt>
                <c:pt idx="693">
                  <c:v>8.6580086580086563E-2</c:v>
                </c:pt>
                <c:pt idx="694">
                  <c:v>8.6455331412103723E-2</c:v>
                </c:pt>
                <c:pt idx="695">
                  <c:v>8.6330935251798538E-2</c:v>
                </c:pt>
                <c:pt idx="696">
                  <c:v>8.6206896551724116E-2</c:v>
                </c:pt>
                <c:pt idx="697">
                  <c:v>8.6083213773314182E-2</c:v>
                </c:pt>
                <c:pt idx="698">
                  <c:v>8.5959885386819465E-2</c:v>
                </c:pt>
                <c:pt idx="699">
                  <c:v>8.5836909871244607E-2</c:v>
                </c:pt>
                <c:pt idx="700">
                  <c:v>8.5714285714285701E-2</c:v>
                </c:pt>
                <c:pt idx="701">
                  <c:v>8.5592011412268174E-2</c:v>
                </c:pt>
                <c:pt idx="702">
                  <c:v>8.5470085470085444E-2</c:v>
                </c:pt>
                <c:pt idx="703">
                  <c:v>8.5348506401137961E-2</c:v>
                </c:pt>
                <c:pt idx="704">
                  <c:v>8.5227272727272707E-2</c:v>
                </c:pt>
                <c:pt idx="705">
                  <c:v>8.5106382978723388E-2</c:v>
                </c:pt>
                <c:pt idx="706">
                  <c:v>8.4985835694050965E-2</c:v>
                </c:pt>
                <c:pt idx="707">
                  <c:v>8.486562942008484E-2</c:v>
                </c:pt>
                <c:pt idx="708">
                  <c:v>8.4745762711864389E-2</c:v>
                </c:pt>
                <c:pt idx="709">
                  <c:v>8.462623413258108E-2</c:v>
                </c:pt>
                <c:pt idx="710">
                  <c:v>8.4507042253521097E-2</c:v>
                </c:pt>
                <c:pt idx="711">
                  <c:v>8.4388185654008421E-2</c:v>
                </c:pt>
                <c:pt idx="712">
                  <c:v>8.4269662921348298E-2</c:v>
                </c:pt>
                <c:pt idx="713">
                  <c:v>8.4151472650771372E-2</c:v>
                </c:pt>
                <c:pt idx="714">
                  <c:v>8.403361344537813E-2</c:v>
                </c:pt>
                <c:pt idx="715">
                  <c:v>8.3916083916083892E-2</c:v>
                </c:pt>
                <c:pt idx="716">
                  <c:v>8.3798882681564227E-2</c:v>
                </c:pt>
                <c:pt idx="717">
                  <c:v>8.3682008368200819E-2</c:v>
                </c:pt>
                <c:pt idx="718">
                  <c:v>8.3565459610027842E-2</c:v>
                </c:pt>
                <c:pt idx="719">
                  <c:v>8.3449235048678697E-2</c:v>
                </c:pt>
                <c:pt idx="720">
                  <c:v>8.3333333333333315E-2</c:v>
                </c:pt>
                <c:pt idx="721">
                  <c:v>8.3217753120665719E-2</c:v>
                </c:pt>
                <c:pt idx="722">
                  <c:v>8.3102493074792227E-2</c:v>
                </c:pt>
                <c:pt idx="723">
                  <c:v>8.29875518672199E-2</c:v>
                </c:pt>
                <c:pt idx="724">
                  <c:v>8.2872928176795563E-2</c:v>
                </c:pt>
                <c:pt idx="725">
                  <c:v>8.2758620689655157E-2</c:v>
                </c:pt>
                <c:pt idx="726">
                  <c:v>8.2644628099173542E-2</c:v>
                </c:pt>
                <c:pt idx="727">
                  <c:v>8.25309491059147E-2</c:v>
                </c:pt>
                <c:pt idx="728">
                  <c:v>8.2417582417582402E-2</c:v>
                </c:pt>
                <c:pt idx="729">
                  <c:v>8.230452674897118E-2</c:v>
                </c:pt>
                <c:pt idx="730">
                  <c:v>8.219178082191779E-2</c:v>
                </c:pt>
                <c:pt idx="731">
                  <c:v>8.2079343365253049E-2</c:v>
                </c:pt>
                <c:pt idx="732">
                  <c:v>8.1967213114754078E-2</c:v>
                </c:pt>
                <c:pt idx="733">
                  <c:v>8.1855388813096841E-2</c:v>
                </c:pt>
                <c:pt idx="734">
                  <c:v>8.174386920980925E-2</c:v>
                </c:pt>
                <c:pt idx="735">
                  <c:v>8.1632653061224469E-2</c:v>
                </c:pt>
                <c:pt idx="736">
                  <c:v>8.1521739130434756E-2</c:v>
                </c:pt>
                <c:pt idx="737">
                  <c:v>8.1411126187245567E-2</c:v>
                </c:pt>
                <c:pt idx="738">
                  <c:v>8.1300813008130066E-2</c:v>
                </c:pt>
                <c:pt idx="739">
                  <c:v>8.1190798376184009E-2</c:v>
                </c:pt>
                <c:pt idx="740">
                  <c:v>8.1081081081081058E-2</c:v>
                </c:pt>
                <c:pt idx="741">
                  <c:v>8.0971659919028327E-2</c:v>
                </c:pt>
                <c:pt idx="742">
                  <c:v>8.0862533692722352E-2</c:v>
                </c:pt>
                <c:pt idx="743">
                  <c:v>8.0753701211305498E-2</c:v>
                </c:pt>
                <c:pt idx="744">
                  <c:v>8.0645161290322565E-2</c:v>
                </c:pt>
                <c:pt idx="745">
                  <c:v>8.0536912751677833E-2</c:v>
                </c:pt>
                <c:pt idx="746">
                  <c:v>8.0428954423592477E-2</c:v>
                </c:pt>
                <c:pt idx="747">
                  <c:v>8.0321285140562235E-2</c:v>
                </c:pt>
                <c:pt idx="748">
                  <c:v>8.0213903743315482E-2</c:v>
                </c:pt>
                <c:pt idx="749">
                  <c:v>8.0106809078771671E-2</c:v>
                </c:pt>
                <c:pt idx="750">
                  <c:v>7.9999999999999988E-2</c:v>
                </c:pt>
                <c:pt idx="751">
                  <c:v>7.9893475366178413E-2</c:v>
                </c:pt>
                <c:pt idx="752">
                  <c:v>7.9787234042553168E-2</c:v>
                </c:pt>
                <c:pt idx="753">
                  <c:v>7.9681274900398391E-2</c:v>
                </c:pt>
                <c:pt idx="754">
                  <c:v>7.957559681697611E-2</c:v>
                </c:pt>
                <c:pt idx="755">
                  <c:v>7.9470198675496678E-2</c:v>
                </c:pt>
                <c:pt idx="756">
                  <c:v>7.9365079365079347E-2</c:v>
                </c:pt>
                <c:pt idx="757">
                  <c:v>7.9260237780713325E-2</c:v>
                </c:pt>
                <c:pt idx="758">
                  <c:v>7.9155672823218975E-2</c:v>
                </c:pt>
                <c:pt idx="759">
                  <c:v>7.9051383399209474E-2</c:v>
                </c:pt>
                <c:pt idx="760">
                  <c:v>7.8947368421052613E-2</c:v>
                </c:pt>
                <c:pt idx="761">
                  <c:v>7.88436268068331E-2</c:v>
                </c:pt>
                <c:pt idx="762">
                  <c:v>7.8740157480314946E-2</c:v>
                </c:pt>
                <c:pt idx="763">
                  <c:v>7.8636959370904314E-2</c:v>
                </c:pt>
                <c:pt idx="764">
                  <c:v>7.8534031413612537E-2</c:v>
                </c:pt>
                <c:pt idx="765">
                  <c:v>7.8431372549019593E-2</c:v>
                </c:pt>
                <c:pt idx="766">
                  <c:v>7.8328981723237573E-2</c:v>
                </c:pt>
                <c:pt idx="767">
                  <c:v>7.8226857887874826E-2</c:v>
                </c:pt>
                <c:pt idx="768">
                  <c:v>7.8124999999999986E-2</c:v>
                </c:pt>
                <c:pt idx="769">
                  <c:v>7.8023407022106611E-2</c:v>
                </c:pt>
                <c:pt idx="770">
                  <c:v>7.7922077922077906E-2</c:v>
                </c:pt>
                <c:pt idx="771">
                  <c:v>7.7821011673151738E-2</c:v>
                </c:pt>
                <c:pt idx="772">
                  <c:v>7.7720207253885995E-2</c:v>
                </c:pt>
                <c:pt idx="773">
                  <c:v>7.7619663648124171E-2</c:v>
                </c:pt>
                <c:pt idx="774">
                  <c:v>7.7519379844961225E-2</c:v>
                </c:pt>
                <c:pt idx="775">
                  <c:v>7.7419354838709667E-2</c:v>
                </c:pt>
                <c:pt idx="776">
                  <c:v>7.7319587628865968E-2</c:v>
                </c:pt>
                <c:pt idx="777">
                  <c:v>7.7220077220077205E-2</c:v>
                </c:pt>
                <c:pt idx="778">
                  <c:v>7.7120822622107954E-2</c:v>
                </c:pt>
                <c:pt idx="779">
                  <c:v>7.7021822849807423E-2</c:v>
                </c:pt>
                <c:pt idx="780">
                  <c:v>7.6923076923076913E-2</c:v>
                </c:pt>
                <c:pt idx="781">
                  <c:v>7.6824583866837368E-2</c:v>
                </c:pt>
                <c:pt idx="782">
                  <c:v>7.6726342710997417E-2</c:v>
                </c:pt>
                <c:pt idx="783">
                  <c:v>7.6628352490421436E-2</c:v>
                </c:pt>
                <c:pt idx="784">
                  <c:v>7.6530612244897947E-2</c:v>
                </c:pt>
                <c:pt idx="785">
                  <c:v>7.6433121019108263E-2</c:v>
                </c:pt>
                <c:pt idx="786">
                  <c:v>7.6335877862595394E-2</c:v>
                </c:pt>
                <c:pt idx="787">
                  <c:v>7.6238881829733152E-2</c:v>
                </c:pt>
                <c:pt idx="788">
                  <c:v>7.614213197969541E-2</c:v>
                </c:pt>
                <c:pt idx="789">
                  <c:v>7.6045627376425839E-2</c:v>
                </c:pt>
                <c:pt idx="790">
                  <c:v>7.5949367088607569E-2</c:v>
                </c:pt>
                <c:pt idx="791">
                  <c:v>7.5853350189633351E-2</c:v>
                </c:pt>
                <c:pt idx="792">
                  <c:v>7.5757575757575746E-2</c:v>
                </c:pt>
                <c:pt idx="793">
                  <c:v>7.5662042875157612E-2</c:v>
                </c:pt>
                <c:pt idx="794">
                  <c:v>7.5566750629722901E-2</c:v>
                </c:pt>
                <c:pt idx="795">
                  <c:v>7.547169811320753E-2</c:v>
                </c:pt>
                <c:pt idx="796">
                  <c:v>7.5376884422110532E-2</c:v>
                </c:pt>
                <c:pt idx="797">
                  <c:v>7.5282308657465477E-2</c:v>
                </c:pt>
                <c:pt idx="798">
                  <c:v>7.5187969924812012E-2</c:v>
                </c:pt>
                <c:pt idx="799">
                  <c:v>7.5093867334167688E-2</c:v>
                </c:pt>
                <c:pt idx="800">
                  <c:v>7.4999999999999983E-2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F9-4BE1-A529-F2D417AD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95876944"/>
        <c:axId val="-1595876400"/>
      </c:scatterChart>
      <c:valAx>
        <c:axId val="-1595876944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 [seg]</a:t>
                </a:r>
              </a:p>
            </c:rich>
          </c:tx>
          <c:layout>
            <c:manualLayout>
              <c:xMode val="edge"/>
              <c:yMode val="edge"/>
              <c:x val="0.47872212014323845"/>
              <c:y val="0.92224315784230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5876400"/>
        <c:crosses val="autoZero"/>
        <c:crossBetween val="midCat"/>
        <c:majorUnit val="1"/>
        <c:minorUnit val="1"/>
      </c:valAx>
      <c:valAx>
        <c:axId val="-159587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SA [g]</a:t>
                </a:r>
              </a:p>
            </c:rich>
          </c:tx>
          <c:layout>
            <c:manualLayout>
              <c:xMode val="edge"/>
              <c:yMode val="edge"/>
              <c:x val="8.4310208187777687E-3"/>
              <c:y val="0.44999595290640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587694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'3.1 Coef. de Amortiguamiento'!$C$6:$C$17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'3.1 Coef. de Amortiguamiento'!$D$6:$D$17</c:f>
              <c:numCache>
                <c:formatCode>General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87-4E49-82E1-793AB7819A3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'3.1 Coef. de Amortiguamiento'!$C$6:$C$17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'3.1 Coef. de Amortiguamiento'!$E$6:$E$17</c:f>
              <c:numCache>
                <c:formatCode>0.0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87-4E49-82E1-793AB7819A3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xVal>
            <c:numRef>
              <c:f>'3.1 Coef. de Amortiguamiento'!$C$6:$C$17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'3.1 Coef. de Amortiguamiento'!$F$6:$F$17</c:f>
              <c:numCache>
                <c:formatCode>0.0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2.4</c:v>
                </c:pt>
                <c:pt idx="7">
                  <c:v>2.7</c:v>
                </c:pt>
                <c:pt idx="8">
                  <c:v>3</c:v>
                </c:pt>
                <c:pt idx="9">
                  <c:v>3.3</c:v>
                </c:pt>
                <c:pt idx="10">
                  <c:v>3.6</c:v>
                </c:pt>
                <c:pt idx="11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87-4E49-82E1-793AB781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95881840"/>
        <c:axId val="-1595880208"/>
      </c:scatterChart>
      <c:valAx>
        <c:axId val="-159588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5880208"/>
        <c:crosses val="autoZero"/>
        <c:crossBetween val="midCat"/>
      </c:valAx>
      <c:valAx>
        <c:axId val="-15958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5881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1</xdr:row>
      <xdr:rowOff>371475</xdr:rowOff>
    </xdr:from>
    <xdr:to>
      <xdr:col>1</xdr:col>
      <xdr:colOff>3771900</xdr:colOff>
      <xdr:row>4</xdr:row>
      <xdr:rowOff>19050</xdr:rowOff>
    </xdr:to>
    <xdr:pic>
      <xdr:nvPicPr>
        <xdr:cNvPr id="2" name="Imagen 168">
          <a:extLst>
            <a:ext uri="{FF2B5EF4-FFF2-40B4-BE49-F238E27FC236}">
              <a16:creationId xmlns:a16="http://schemas.microsoft.com/office/drawing/2014/main" id="{295C2D03-F619-45C9-B7DC-BBF52854D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371475"/>
          <a:ext cx="14763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515936</xdr:colOff>
      <xdr:row>46</xdr:row>
      <xdr:rowOff>88900</xdr:rowOff>
    </xdr:from>
    <xdr:to>
      <xdr:col>17</xdr:col>
      <xdr:colOff>241300</xdr:colOff>
      <xdr:row>59</xdr:row>
      <xdr:rowOff>40746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241300</xdr:colOff>
      <xdr:row>49</xdr:row>
      <xdr:rowOff>95250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66150" y="1042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</xdr:col>
      <xdr:colOff>981074</xdr:colOff>
      <xdr:row>82</xdr:row>
      <xdr:rowOff>0</xdr:rowOff>
    </xdr:from>
    <xdr:ext cx="80962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7249" y="41576625"/>
          <a:ext cx="80962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174249</xdr:colOff>
      <xdr:row>50</xdr:row>
      <xdr:rowOff>94110</xdr:rowOff>
    </xdr:from>
    <xdr:ext cx="453970" cy="1788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324826" y="10309934"/>
              <a:ext cx="453970" cy="178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sup>
                    </m:sSup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324826" y="10309934"/>
              <a:ext cx="453970" cy="178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𝑊∗ℎ^𝑘</a:t>
              </a:r>
              <a:endParaRPr lang="es-E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44</xdr:row>
      <xdr:rowOff>161925</xdr:rowOff>
    </xdr:from>
    <xdr:ext cx="65" cy="172227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2581275" y="66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36132" y="93360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265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10925175" y="347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3630490" y="108208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172227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3630490" y="110162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26</xdr:row>
      <xdr:rowOff>0</xdr:rowOff>
    </xdr:from>
    <xdr:ext cx="65" cy="344453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3630490" y="1003935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26</xdr:row>
      <xdr:rowOff>0</xdr:rowOff>
    </xdr:from>
    <xdr:ext cx="65" cy="344453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3630490" y="11211658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26</xdr:row>
      <xdr:rowOff>0</xdr:rowOff>
    </xdr:from>
    <xdr:ext cx="65" cy="344453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3630490" y="11211658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twoCellAnchor>
    <xdr:from>
      <xdr:col>10</xdr:col>
      <xdr:colOff>29633</xdr:colOff>
      <xdr:row>155</xdr:row>
      <xdr:rowOff>129117</xdr:rowOff>
    </xdr:from>
    <xdr:to>
      <xdr:col>14</xdr:col>
      <xdr:colOff>389467</xdr:colOff>
      <xdr:row>167</xdr:row>
      <xdr:rowOff>87841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380037</xdr:colOff>
      <xdr:row>27</xdr:row>
      <xdr:rowOff>152400</xdr:rowOff>
    </xdr:from>
    <xdr:to>
      <xdr:col>13</xdr:col>
      <xdr:colOff>50800</xdr:colOff>
      <xdr:row>40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333375</xdr:colOff>
      <xdr:row>62</xdr:row>
      <xdr:rowOff>0</xdr:rowOff>
    </xdr:from>
    <xdr:ext cx="65" cy="172227"/>
    <xdr:sp macro="" textlink="">
      <xdr:nvSpPr>
        <xdr:cNvPr id="23" name="CuadroTexto 76">
          <a:extLst>
            <a:ext uri="{FF2B5EF4-FFF2-40B4-BE49-F238E27FC236}">
              <a16:creationId xmlns:a16="http://schemas.microsoft.com/office/drawing/2014/main" id="{EE47AAD4-EB08-4C31-AA2E-5156AB5DA6C1}"/>
            </a:ext>
          </a:extLst>
        </xdr:cNvPr>
        <xdr:cNvSpPr txBox="1"/>
      </xdr:nvSpPr>
      <xdr:spPr>
        <a:xfrm>
          <a:off x="3902075" y="5295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172227"/>
    <xdr:sp macro="" textlink="">
      <xdr:nvSpPr>
        <xdr:cNvPr id="24" name="CuadroTexto 77">
          <a:extLst>
            <a:ext uri="{FF2B5EF4-FFF2-40B4-BE49-F238E27FC236}">
              <a16:creationId xmlns:a16="http://schemas.microsoft.com/office/drawing/2014/main" id="{D0FABAE9-B6C3-475E-8E01-CF9A7EC307BE}"/>
            </a:ext>
          </a:extLst>
        </xdr:cNvPr>
        <xdr:cNvSpPr txBox="1"/>
      </xdr:nvSpPr>
      <xdr:spPr>
        <a:xfrm>
          <a:off x="3902075" y="5295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25" name="CuadroTexto 95">
          <a:extLst>
            <a:ext uri="{FF2B5EF4-FFF2-40B4-BE49-F238E27FC236}">
              <a16:creationId xmlns:a16="http://schemas.microsoft.com/office/drawing/2014/main" id="{5F0B81D0-6C48-45E4-A5E4-710B0AEB0EEB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26" name="CuadroTexto 96">
          <a:extLst>
            <a:ext uri="{FF2B5EF4-FFF2-40B4-BE49-F238E27FC236}">
              <a16:creationId xmlns:a16="http://schemas.microsoft.com/office/drawing/2014/main" id="{E1C0718C-B408-42CF-AA0A-7F7E6F21AF66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27" name="CuadroTexto 97">
          <a:extLst>
            <a:ext uri="{FF2B5EF4-FFF2-40B4-BE49-F238E27FC236}">
              <a16:creationId xmlns:a16="http://schemas.microsoft.com/office/drawing/2014/main" id="{B34E751C-5B52-471C-B5D1-BB1837B3461A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28" name="CuadroTexto 98">
          <a:extLst>
            <a:ext uri="{FF2B5EF4-FFF2-40B4-BE49-F238E27FC236}">
              <a16:creationId xmlns:a16="http://schemas.microsoft.com/office/drawing/2014/main" id="{31416B68-E94C-4269-89A6-14458D500F6C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29" name="CuadroTexto 99">
          <a:extLst>
            <a:ext uri="{FF2B5EF4-FFF2-40B4-BE49-F238E27FC236}">
              <a16:creationId xmlns:a16="http://schemas.microsoft.com/office/drawing/2014/main" id="{BA2402D2-F3D8-49CD-8DDD-DA6C84839567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0" name="CuadroTexto 100">
          <a:extLst>
            <a:ext uri="{FF2B5EF4-FFF2-40B4-BE49-F238E27FC236}">
              <a16:creationId xmlns:a16="http://schemas.microsoft.com/office/drawing/2014/main" id="{C6B134CD-E9F3-4D30-A665-863929214683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1" name="CuadroTexto 101">
          <a:extLst>
            <a:ext uri="{FF2B5EF4-FFF2-40B4-BE49-F238E27FC236}">
              <a16:creationId xmlns:a16="http://schemas.microsoft.com/office/drawing/2014/main" id="{1C38AEEF-0C27-43D3-B033-C0F9B7D6EB8D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2" name="CuadroTexto 102">
          <a:extLst>
            <a:ext uri="{FF2B5EF4-FFF2-40B4-BE49-F238E27FC236}">
              <a16:creationId xmlns:a16="http://schemas.microsoft.com/office/drawing/2014/main" id="{E09080EA-47C9-4A68-9D8C-BD2239DC5348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3" name="CuadroTexto 103">
          <a:extLst>
            <a:ext uri="{FF2B5EF4-FFF2-40B4-BE49-F238E27FC236}">
              <a16:creationId xmlns:a16="http://schemas.microsoft.com/office/drawing/2014/main" id="{ABD2C94C-FF84-4E43-B124-1C391952B121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4" name="CuadroTexto 104">
          <a:extLst>
            <a:ext uri="{FF2B5EF4-FFF2-40B4-BE49-F238E27FC236}">
              <a16:creationId xmlns:a16="http://schemas.microsoft.com/office/drawing/2014/main" id="{47D556E4-8CA4-4A8C-9E09-39994FE24BCC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5" name="CuadroTexto 105">
          <a:extLst>
            <a:ext uri="{FF2B5EF4-FFF2-40B4-BE49-F238E27FC236}">
              <a16:creationId xmlns:a16="http://schemas.microsoft.com/office/drawing/2014/main" id="{8CF9E655-308E-4065-9E5D-D6F166C2E203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62</xdr:row>
      <xdr:rowOff>0</xdr:rowOff>
    </xdr:from>
    <xdr:ext cx="65" cy="344453"/>
    <xdr:sp macro="" textlink="">
      <xdr:nvSpPr>
        <xdr:cNvPr id="36" name="CuadroTexto 106">
          <a:extLst>
            <a:ext uri="{FF2B5EF4-FFF2-40B4-BE49-F238E27FC236}">
              <a16:creationId xmlns:a16="http://schemas.microsoft.com/office/drawing/2014/main" id="{4502FD5C-A0EB-4ED1-B97B-399B9553A494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62</xdr:row>
      <xdr:rowOff>0</xdr:rowOff>
    </xdr:from>
    <xdr:ext cx="65" cy="344453"/>
    <xdr:sp macro="" textlink="">
      <xdr:nvSpPr>
        <xdr:cNvPr id="37" name="CuadroTexto 107">
          <a:extLst>
            <a:ext uri="{FF2B5EF4-FFF2-40B4-BE49-F238E27FC236}">
              <a16:creationId xmlns:a16="http://schemas.microsoft.com/office/drawing/2014/main" id="{F3954FE4-A4DF-4CC8-A501-2AA5F6FD877F}"/>
            </a:ext>
          </a:extLst>
        </xdr:cNvPr>
        <xdr:cNvSpPr txBox="1"/>
      </xdr:nvSpPr>
      <xdr:spPr>
        <a:xfrm>
          <a:off x="67468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62</xdr:row>
      <xdr:rowOff>0</xdr:rowOff>
    </xdr:from>
    <xdr:ext cx="65" cy="344453"/>
    <xdr:sp macro="" textlink="">
      <xdr:nvSpPr>
        <xdr:cNvPr id="38" name="CuadroTexto 108">
          <a:extLst>
            <a:ext uri="{FF2B5EF4-FFF2-40B4-BE49-F238E27FC236}">
              <a16:creationId xmlns:a16="http://schemas.microsoft.com/office/drawing/2014/main" id="{BD2DBF04-59E4-4AC8-8B37-4BD2A30A8BC8}"/>
            </a:ext>
          </a:extLst>
        </xdr:cNvPr>
        <xdr:cNvSpPr txBox="1"/>
      </xdr:nvSpPr>
      <xdr:spPr>
        <a:xfrm>
          <a:off x="67468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172227"/>
    <xdr:sp macro="" textlink="">
      <xdr:nvSpPr>
        <xdr:cNvPr id="39" name="CuadroTexto 76">
          <a:extLst>
            <a:ext uri="{FF2B5EF4-FFF2-40B4-BE49-F238E27FC236}">
              <a16:creationId xmlns:a16="http://schemas.microsoft.com/office/drawing/2014/main" id="{1FD01020-F6F2-4FE6-9262-4EBC5C314F1C}"/>
            </a:ext>
          </a:extLst>
        </xdr:cNvPr>
        <xdr:cNvSpPr txBox="1"/>
      </xdr:nvSpPr>
      <xdr:spPr>
        <a:xfrm>
          <a:off x="3902075" y="5295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172227"/>
    <xdr:sp macro="" textlink="">
      <xdr:nvSpPr>
        <xdr:cNvPr id="40" name="CuadroTexto 77">
          <a:extLst>
            <a:ext uri="{FF2B5EF4-FFF2-40B4-BE49-F238E27FC236}">
              <a16:creationId xmlns:a16="http://schemas.microsoft.com/office/drawing/2014/main" id="{5EF49010-2431-43F2-B190-1A0A8FFF4BA4}"/>
            </a:ext>
          </a:extLst>
        </xdr:cNvPr>
        <xdr:cNvSpPr txBox="1"/>
      </xdr:nvSpPr>
      <xdr:spPr>
        <a:xfrm>
          <a:off x="3902075" y="5295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1" name="CuadroTexto 95">
          <a:extLst>
            <a:ext uri="{FF2B5EF4-FFF2-40B4-BE49-F238E27FC236}">
              <a16:creationId xmlns:a16="http://schemas.microsoft.com/office/drawing/2014/main" id="{3B233F08-2133-41AE-B86B-C35C2E862306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2" name="CuadroTexto 96">
          <a:extLst>
            <a:ext uri="{FF2B5EF4-FFF2-40B4-BE49-F238E27FC236}">
              <a16:creationId xmlns:a16="http://schemas.microsoft.com/office/drawing/2014/main" id="{DCC52DA7-A109-4922-8151-52BE9DEB986F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3" name="CuadroTexto 97">
          <a:extLst>
            <a:ext uri="{FF2B5EF4-FFF2-40B4-BE49-F238E27FC236}">
              <a16:creationId xmlns:a16="http://schemas.microsoft.com/office/drawing/2014/main" id="{24D978E3-00E7-4C73-BEE8-7CC7C429FBC5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4" name="CuadroTexto 98">
          <a:extLst>
            <a:ext uri="{FF2B5EF4-FFF2-40B4-BE49-F238E27FC236}">
              <a16:creationId xmlns:a16="http://schemas.microsoft.com/office/drawing/2014/main" id="{52A17FD4-003D-4875-86D1-009F721A062A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5" name="CuadroTexto 99">
          <a:extLst>
            <a:ext uri="{FF2B5EF4-FFF2-40B4-BE49-F238E27FC236}">
              <a16:creationId xmlns:a16="http://schemas.microsoft.com/office/drawing/2014/main" id="{64CCDCCD-0705-4147-9D9B-F11FC4F2C970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6" name="CuadroTexto 100">
          <a:extLst>
            <a:ext uri="{FF2B5EF4-FFF2-40B4-BE49-F238E27FC236}">
              <a16:creationId xmlns:a16="http://schemas.microsoft.com/office/drawing/2014/main" id="{B7483D29-7454-44DB-A5CF-A397C0E08E0D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7" name="CuadroTexto 101">
          <a:extLst>
            <a:ext uri="{FF2B5EF4-FFF2-40B4-BE49-F238E27FC236}">
              <a16:creationId xmlns:a16="http://schemas.microsoft.com/office/drawing/2014/main" id="{80E80339-2C49-4A01-A03D-A4632413892D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8" name="CuadroTexto 102">
          <a:extLst>
            <a:ext uri="{FF2B5EF4-FFF2-40B4-BE49-F238E27FC236}">
              <a16:creationId xmlns:a16="http://schemas.microsoft.com/office/drawing/2014/main" id="{13CA1875-F748-4C70-8E67-86DD0EAB71B2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49" name="CuadroTexto 103">
          <a:extLst>
            <a:ext uri="{FF2B5EF4-FFF2-40B4-BE49-F238E27FC236}">
              <a16:creationId xmlns:a16="http://schemas.microsoft.com/office/drawing/2014/main" id="{37192C67-E123-4956-A7DB-53EE8FC093E8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50" name="CuadroTexto 104">
          <a:extLst>
            <a:ext uri="{FF2B5EF4-FFF2-40B4-BE49-F238E27FC236}">
              <a16:creationId xmlns:a16="http://schemas.microsoft.com/office/drawing/2014/main" id="{685ADB67-9E54-46F5-8707-D29490140F66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51" name="CuadroTexto 105">
          <a:extLst>
            <a:ext uri="{FF2B5EF4-FFF2-40B4-BE49-F238E27FC236}">
              <a16:creationId xmlns:a16="http://schemas.microsoft.com/office/drawing/2014/main" id="{6F5BAC91-3D3D-4E73-B661-6CC86F225961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97</xdr:row>
      <xdr:rowOff>0</xdr:rowOff>
    </xdr:from>
    <xdr:ext cx="65" cy="344453"/>
    <xdr:sp macro="" textlink="">
      <xdr:nvSpPr>
        <xdr:cNvPr id="52" name="CuadroTexto 106">
          <a:extLst>
            <a:ext uri="{FF2B5EF4-FFF2-40B4-BE49-F238E27FC236}">
              <a16:creationId xmlns:a16="http://schemas.microsoft.com/office/drawing/2014/main" id="{9A508281-8C78-44A4-BBF2-AC4E6783977F}"/>
            </a:ext>
          </a:extLst>
        </xdr:cNvPr>
        <xdr:cNvSpPr txBox="1"/>
      </xdr:nvSpPr>
      <xdr:spPr>
        <a:xfrm>
          <a:off x="39020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97</xdr:row>
      <xdr:rowOff>0</xdr:rowOff>
    </xdr:from>
    <xdr:ext cx="65" cy="344453"/>
    <xdr:sp macro="" textlink="">
      <xdr:nvSpPr>
        <xdr:cNvPr id="53" name="CuadroTexto 107">
          <a:extLst>
            <a:ext uri="{FF2B5EF4-FFF2-40B4-BE49-F238E27FC236}">
              <a16:creationId xmlns:a16="http://schemas.microsoft.com/office/drawing/2014/main" id="{AE1ED96D-2127-43D9-8C70-74339297AE97}"/>
            </a:ext>
          </a:extLst>
        </xdr:cNvPr>
        <xdr:cNvSpPr txBox="1"/>
      </xdr:nvSpPr>
      <xdr:spPr>
        <a:xfrm>
          <a:off x="67468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97</xdr:row>
      <xdr:rowOff>0</xdr:rowOff>
    </xdr:from>
    <xdr:ext cx="65" cy="344453"/>
    <xdr:sp macro="" textlink="">
      <xdr:nvSpPr>
        <xdr:cNvPr id="54" name="CuadroTexto 108">
          <a:extLst>
            <a:ext uri="{FF2B5EF4-FFF2-40B4-BE49-F238E27FC236}">
              <a16:creationId xmlns:a16="http://schemas.microsoft.com/office/drawing/2014/main" id="{3E56292C-D01E-4B9B-BECA-B619E089C14B}"/>
            </a:ext>
          </a:extLst>
        </xdr:cNvPr>
        <xdr:cNvSpPr txBox="1"/>
      </xdr:nvSpPr>
      <xdr:spPr>
        <a:xfrm>
          <a:off x="6746875" y="5295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172227"/>
    <xdr:sp macro="" textlink="">
      <xdr:nvSpPr>
        <xdr:cNvPr id="55" name="CuadroTexto 76">
          <a:extLst>
            <a:ext uri="{FF2B5EF4-FFF2-40B4-BE49-F238E27FC236}">
              <a16:creationId xmlns:a16="http://schemas.microsoft.com/office/drawing/2014/main" id="{990D6C24-86EB-47FF-A8C3-F664FD2CE225}"/>
            </a:ext>
          </a:extLst>
        </xdr:cNvPr>
        <xdr:cNvSpPr txBox="1"/>
      </xdr:nvSpPr>
      <xdr:spPr>
        <a:xfrm>
          <a:off x="3902075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172227"/>
    <xdr:sp macro="" textlink="">
      <xdr:nvSpPr>
        <xdr:cNvPr id="56" name="CuadroTexto 77">
          <a:extLst>
            <a:ext uri="{FF2B5EF4-FFF2-40B4-BE49-F238E27FC236}">
              <a16:creationId xmlns:a16="http://schemas.microsoft.com/office/drawing/2014/main" id="{417D9A56-49D0-49AE-B199-EE7663DADF6B}"/>
            </a:ext>
          </a:extLst>
        </xdr:cNvPr>
        <xdr:cNvSpPr txBox="1"/>
      </xdr:nvSpPr>
      <xdr:spPr>
        <a:xfrm>
          <a:off x="3902075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58" name="CuadroTexto 95">
          <a:extLst>
            <a:ext uri="{FF2B5EF4-FFF2-40B4-BE49-F238E27FC236}">
              <a16:creationId xmlns:a16="http://schemas.microsoft.com/office/drawing/2014/main" id="{9036CAFD-B62E-44A6-A431-8944F5B5B6EB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59" name="CuadroTexto 96">
          <a:extLst>
            <a:ext uri="{FF2B5EF4-FFF2-40B4-BE49-F238E27FC236}">
              <a16:creationId xmlns:a16="http://schemas.microsoft.com/office/drawing/2014/main" id="{9848F882-B7BA-4EF5-9C3C-283DA348B689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1" name="CuadroTexto 97">
          <a:extLst>
            <a:ext uri="{FF2B5EF4-FFF2-40B4-BE49-F238E27FC236}">
              <a16:creationId xmlns:a16="http://schemas.microsoft.com/office/drawing/2014/main" id="{5A4C1D3C-998C-41C5-BFC7-6210140A8729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3" name="CuadroTexto 98">
          <a:extLst>
            <a:ext uri="{FF2B5EF4-FFF2-40B4-BE49-F238E27FC236}">
              <a16:creationId xmlns:a16="http://schemas.microsoft.com/office/drawing/2014/main" id="{D34BBB7C-1996-4F95-BC63-37257CAA9AA0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4" name="CuadroTexto 99">
          <a:extLst>
            <a:ext uri="{FF2B5EF4-FFF2-40B4-BE49-F238E27FC236}">
              <a16:creationId xmlns:a16="http://schemas.microsoft.com/office/drawing/2014/main" id="{A28B24F9-D6C5-465A-B0BC-E5C84CDC09BE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5" name="CuadroTexto 100">
          <a:extLst>
            <a:ext uri="{FF2B5EF4-FFF2-40B4-BE49-F238E27FC236}">
              <a16:creationId xmlns:a16="http://schemas.microsoft.com/office/drawing/2014/main" id="{32466CBC-53B3-4543-8CEE-8065F450EF8C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6" name="CuadroTexto 101">
          <a:extLst>
            <a:ext uri="{FF2B5EF4-FFF2-40B4-BE49-F238E27FC236}">
              <a16:creationId xmlns:a16="http://schemas.microsoft.com/office/drawing/2014/main" id="{AF09CEAD-5886-4F01-BACB-EABE01180614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7" name="CuadroTexto 102">
          <a:extLst>
            <a:ext uri="{FF2B5EF4-FFF2-40B4-BE49-F238E27FC236}">
              <a16:creationId xmlns:a16="http://schemas.microsoft.com/office/drawing/2014/main" id="{F47BD13F-2369-4219-83E1-78689AB7B492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8" name="CuadroTexto 103">
          <a:extLst>
            <a:ext uri="{FF2B5EF4-FFF2-40B4-BE49-F238E27FC236}">
              <a16:creationId xmlns:a16="http://schemas.microsoft.com/office/drawing/2014/main" id="{05EB28F0-A7DF-484C-96A3-2F5006BE70E5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69" name="CuadroTexto 104">
          <a:extLst>
            <a:ext uri="{FF2B5EF4-FFF2-40B4-BE49-F238E27FC236}">
              <a16:creationId xmlns:a16="http://schemas.microsoft.com/office/drawing/2014/main" id="{38CEC373-933C-4E65-ADF6-D96EEBD629F1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70" name="CuadroTexto 105">
          <a:extLst>
            <a:ext uri="{FF2B5EF4-FFF2-40B4-BE49-F238E27FC236}">
              <a16:creationId xmlns:a16="http://schemas.microsoft.com/office/drawing/2014/main" id="{EA4FE0AC-A300-4D05-A00A-70EF28F9E48D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120</xdr:row>
      <xdr:rowOff>0</xdr:rowOff>
    </xdr:from>
    <xdr:ext cx="65" cy="344453"/>
    <xdr:sp macro="" textlink="">
      <xdr:nvSpPr>
        <xdr:cNvPr id="71" name="CuadroTexto 106">
          <a:extLst>
            <a:ext uri="{FF2B5EF4-FFF2-40B4-BE49-F238E27FC236}">
              <a16:creationId xmlns:a16="http://schemas.microsoft.com/office/drawing/2014/main" id="{D7953A55-4BE8-45D1-BBAD-5B126F12D334}"/>
            </a:ext>
          </a:extLst>
        </xdr:cNvPr>
        <xdr:cNvSpPr txBox="1"/>
      </xdr:nvSpPr>
      <xdr:spPr>
        <a:xfrm>
          <a:off x="39020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120</xdr:row>
      <xdr:rowOff>0</xdr:rowOff>
    </xdr:from>
    <xdr:ext cx="65" cy="344453"/>
    <xdr:sp macro="" textlink="">
      <xdr:nvSpPr>
        <xdr:cNvPr id="72" name="CuadroTexto 107">
          <a:extLst>
            <a:ext uri="{FF2B5EF4-FFF2-40B4-BE49-F238E27FC236}">
              <a16:creationId xmlns:a16="http://schemas.microsoft.com/office/drawing/2014/main" id="{75EEEA65-5E7D-4A0C-BAC6-B17FBCF761EE}"/>
            </a:ext>
          </a:extLst>
        </xdr:cNvPr>
        <xdr:cNvSpPr txBox="1"/>
      </xdr:nvSpPr>
      <xdr:spPr>
        <a:xfrm>
          <a:off x="67468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120</xdr:row>
      <xdr:rowOff>0</xdr:rowOff>
    </xdr:from>
    <xdr:ext cx="65" cy="344453"/>
    <xdr:sp macro="" textlink="">
      <xdr:nvSpPr>
        <xdr:cNvPr id="73" name="CuadroTexto 108">
          <a:extLst>
            <a:ext uri="{FF2B5EF4-FFF2-40B4-BE49-F238E27FC236}">
              <a16:creationId xmlns:a16="http://schemas.microsoft.com/office/drawing/2014/main" id="{B58218FC-3590-4B3C-9001-CB796D9E4F8B}"/>
            </a:ext>
          </a:extLst>
        </xdr:cNvPr>
        <xdr:cNvSpPr txBox="1"/>
      </xdr:nvSpPr>
      <xdr:spPr>
        <a:xfrm>
          <a:off x="6746875" y="121158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172227"/>
    <xdr:sp macro="" textlink="">
      <xdr:nvSpPr>
        <xdr:cNvPr id="74" name="CuadroTexto 76">
          <a:extLst>
            <a:ext uri="{FF2B5EF4-FFF2-40B4-BE49-F238E27FC236}">
              <a16:creationId xmlns:a16="http://schemas.microsoft.com/office/drawing/2014/main" id="{13057CF1-915D-40A2-80D0-B2B43905FC0A}"/>
            </a:ext>
          </a:extLst>
        </xdr:cNvPr>
        <xdr:cNvSpPr txBox="1"/>
      </xdr:nvSpPr>
      <xdr:spPr>
        <a:xfrm>
          <a:off x="3902075" y="2320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172227"/>
    <xdr:sp macro="" textlink="">
      <xdr:nvSpPr>
        <xdr:cNvPr id="75" name="CuadroTexto 77">
          <a:extLst>
            <a:ext uri="{FF2B5EF4-FFF2-40B4-BE49-F238E27FC236}">
              <a16:creationId xmlns:a16="http://schemas.microsoft.com/office/drawing/2014/main" id="{676FD671-39C7-41F3-A6BC-A5B715C59F8C}"/>
            </a:ext>
          </a:extLst>
        </xdr:cNvPr>
        <xdr:cNvSpPr txBox="1"/>
      </xdr:nvSpPr>
      <xdr:spPr>
        <a:xfrm>
          <a:off x="3902075" y="2320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76" name="CuadroTexto 95">
          <a:extLst>
            <a:ext uri="{FF2B5EF4-FFF2-40B4-BE49-F238E27FC236}">
              <a16:creationId xmlns:a16="http://schemas.microsoft.com/office/drawing/2014/main" id="{F3EF4FBC-38D4-4EDB-9BC2-3787D6191743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79" name="CuadroTexto 96">
          <a:extLst>
            <a:ext uri="{FF2B5EF4-FFF2-40B4-BE49-F238E27FC236}">
              <a16:creationId xmlns:a16="http://schemas.microsoft.com/office/drawing/2014/main" id="{88D844E4-D93A-481F-B484-78202FA96E30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0" name="CuadroTexto 97">
          <a:extLst>
            <a:ext uri="{FF2B5EF4-FFF2-40B4-BE49-F238E27FC236}">
              <a16:creationId xmlns:a16="http://schemas.microsoft.com/office/drawing/2014/main" id="{4D576468-6A85-4CC9-96F0-32F996E90F34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1" name="CuadroTexto 98">
          <a:extLst>
            <a:ext uri="{FF2B5EF4-FFF2-40B4-BE49-F238E27FC236}">
              <a16:creationId xmlns:a16="http://schemas.microsoft.com/office/drawing/2014/main" id="{60781DCA-17D1-42DE-B33D-5AE3C15DF329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2" name="CuadroTexto 99">
          <a:extLst>
            <a:ext uri="{FF2B5EF4-FFF2-40B4-BE49-F238E27FC236}">
              <a16:creationId xmlns:a16="http://schemas.microsoft.com/office/drawing/2014/main" id="{50B6B1C0-9563-4897-8100-20EF8A50CDF5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3" name="CuadroTexto 100">
          <a:extLst>
            <a:ext uri="{FF2B5EF4-FFF2-40B4-BE49-F238E27FC236}">
              <a16:creationId xmlns:a16="http://schemas.microsoft.com/office/drawing/2014/main" id="{0C439646-42A3-446D-B235-DEBEE841F321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4" name="CuadroTexto 101">
          <a:extLst>
            <a:ext uri="{FF2B5EF4-FFF2-40B4-BE49-F238E27FC236}">
              <a16:creationId xmlns:a16="http://schemas.microsoft.com/office/drawing/2014/main" id="{49A5ABAC-CA29-4FF0-9D8D-40013B8F0B8C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5" name="CuadroTexto 102">
          <a:extLst>
            <a:ext uri="{FF2B5EF4-FFF2-40B4-BE49-F238E27FC236}">
              <a16:creationId xmlns:a16="http://schemas.microsoft.com/office/drawing/2014/main" id="{DF9EFFB8-0798-4188-8D1B-59646FF4171C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6" name="CuadroTexto 103">
          <a:extLst>
            <a:ext uri="{FF2B5EF4-FFF2-40B4-BE49-F238E27FC236}">
              <a16:creationId xmlns:a16="http://schemas.microsoft.com/office/drawing/2014/main" id="{90C6D063-E955-4082-8E3D-8F80E014B5D2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7" name="CuadroTexto 104">
          <a:extLst>
            <a:ext uri="{FF2B5EF4-FFF2-40B4-BE49-F238E27FC236}">
              <a16:creationId xmlns:a16="http://schemas.microsoft.com/office/drawing/2014/main" id="{AF5E7D90-2EC7-4A3F-AD5F-59B0EB2FE1BE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8" name="CuadroTexto 105">
          <a:extLst>
            <a:ext uri="{FF2B5EF4-FFF2-40B4-BE49-F238E27FC236}">
              <a16:creationId xmlns:a16="http://schemas.microsoft.com/office/drawing/2014/main" id="{AD317573-B299-4EE1-9D1D-E25EBCE64299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6</xdr:col>
      <xdr:colOff>333375</xdr:colOff>
      <xdr:row>154</xdr:row>
      <xdr:rowOff>0</xdr:rowOff>
    </xdr:from>
    <xdr:ext cx="65" cy="344453"/>
    <xdr:sp macro="" textlink="">
      <xdr:nvSpPr>
        <xdr:cNvPr id="89" name="CuadroTexto 106">
          <a:extLst>
            <a:ext uri="{FF2B5EF4-FFF2-40B4-BE49-F238E27FC236}">
              <a16:creationId xmlns:a16="http://schemas.microsoft.com/office/drawing/2014/main" id="{82DA98C0-3AAB-42C5-AD34-D28A33E9BECB}"/>
            </a:ext>
          </a:extLst>
        </xdr:cNvPr>
        <xdr:cNvSpPr txBox="1"/>
      </xdr:nvSpPr>
      <xdr:spPr>
        <a:xfrm>
          <a:off x="39020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154</xdr:row>
      <xdr:rowOff>0</xdr:rowOff>
    </xdr:from>
    <xdr:ext cx="65" cy="344453"/>
    <xdr:sp macro="" textlink="">
      <xdr:nvSpPr>
        <xdr:cNvPr id="90" name="CuadroTexto 107">
          <a:extLst>
            <a:ext uri="{FF2B5EF4-FFF2-40B4-BE49-F238E27FC236}">
              <a16:creationId xmlns:a16="http://schemas.microsoft.com/office/drawing/2014/main" id="{09CB72A4-56A7-4B53-B3ED-74C997358925}"/>
            </a:ext>
          </a:extLst>
        </xdr:cNvPr>
        <xdr:cNvSpPr txBox="1"/>
      </xdr:nvSpPr>
      <xdr:spPr>
        <a:xfrm>
          <a:off x="67468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  <xdr:oneCellAnchor>
    <xdr:from>
      <xdr:col>10</xdr:col>
      <xdr:colOff>333375</xdr:colOff>
      <xdr:row>154</xdr:row>
      <xdr:rowOff>0</xdr:rowOff>
    </xdr:from>
    <xdr:ext cx="65" cy="344453"/>
    <xdr:sp macro="" textlink="">
      <xdr:nvSpPr>
        <xdr:cNvPr id="91" name="CuadroTexto 108">
          <a:extLst>
            <a:ext uri="{FF2B5EF4-FFF2-40B4-BE49-F238E27FC236}">
              <a16:creationId xmlns:a16="http://schemas.microsoft.com/office/drawing/2014/main" id="{A3DF7CA9-3AEE-44EB-B83B-9575DEC9545F}"/>
            </a:ext>
          </a:extLst>
        </xdr:cNvPr>
        <xdr:cNvSpPr txBox="1"/>
      </xdr:nvSpPr>
      <xdr:spPr>
        <a:xfrm>
          <a:off x="6746875" y="23202900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 sz="1100"/>
        </a:p>
        <a:p>
          <a:endParaRPr lang="es-EC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269301</xdr:colOff>
      <xdr:row>4</xdr:row>
      <xdr:rowOff>93155</xdr:rowOff>
    </xdr:from>
    <xdr:to>
      <xdr:col>18</xdr:col>
      <xdr:colOff>457078</xdr:colOff>
      <xdr:row>29</xdr:row>
      <xdr:rowOff>1820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748068</xdr:colOff>
      <xdr:row>18</xdr:row>
      <xdr:rowOff>80042</xdr:rowOff>
    </xdr:from>
    <xdr:to>
      <xdr:col>8</xdr:col>
      <xdr:colOff>12700</xdr:colOff>
      <xdr:row>35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5711-0F9F-41E6-93D6-2942E577518E}">
  <dimension ref="B1:B29"/>
  <sheetViews>
    <sheetView workbookViewId="0">
      <selection activeCell="D22" sqref="D22"/>
    </sheetView>
  </sheetViews>
  <sheetFormatPr defaultRowHeight="15" x14ac:dyDescent="0.25"/>
  <cols>
    <col min="1" max="1" width="9.140625" style="59"/>
    <col min="2" max="2" width="91.28515625" style="59" customWidth="1"/>
    <col min="3" max="16384" width="9.140625" style="59"/>
  </cols>
  <sheetData>
    <row r="1" spans="2:2" ht="15.75" thickBot="1" x14ac:dyDescent="0.3"/>
    <row r="2" spans="2:2" ht="30" customHeight="1" x14ac:dyDescent="0.25">
      <c r="B2" s="960" t="s">
        <v>514</v>
      </c>
    </row>
    <row r="3" spans="2:2" x14ac:dyDescent="0.25">
      <c r="B3" s="961"/>
    </row>
    <row r="4" spans="2:2" ht="125.25" customHeight="1" x14ac:dyDescent="0.25">
      <c r="B4" s="962"/>
    </row>
    <row r="5" spans="2:2" x14ac:dyDescent="0.25">
      <c r="B5" s="961"/>
    </row>
    <row r="6" spans="2:2" ht="15.75" x14ac:dyDescent="0.25">
      <c r="B6" s="963" t="s">
        <v>515</v>
      </c>
    </row>
    <row r="7" spans="2:2" x14ac:dyDescent="0.25">
      <c r="B7" s="964"/>
    </row>
    <row r="8" spans="2:2" ht="15.75" x14ac:dyDescent="0.25">
      <c r="B8" s="963" t="s">
        <v>516</v>
      </c>
    </row>
    <row r="9" spans="2:2" x14ac:dyDescent="0.25">
      <c r="B9" s="961"/>
    </row>
    <row r="10" spans="2:2" x14ac:dyDescent="0.25">
      <c r="B10" s="961"/>
    </row>
    <row r="11" spans="2:2" ht="15.75" x14ac:dyDescent="0.25">
      <c r="B11" s="963" t="s">
        <v>517</v>
      </c>
    </row>
    <row r="12" spans="2:2" x14ac:dyDescent="0.25">
      <c r="B12" s="964"/>
    </row>
    <row r="13" spans="2:2" x14ac:dyDescent="0.25">
      <c r="B13" s="964" t="s">
        <v>518</v>
      </c>
    </row>
    <row r="14" spans="2:2" x14ac:dyDescent="0.25">
      <c r="B14" s="964"/>
    </row>
    <row r="15" spans="2:2" ht="15.75" x14ac:dyDescent="0.25">
      <c r="B15" s="965" t="s">
        <v>519</v>
      </c>
    </row>
    <row r="16" spans="2:2" x14ac:dyDescent="0.25">
      <c r="B16" s="964" t="s">
        <v>520</v>
      </c>
    </row>
    <row r="17" spans="2:2" x14ac:dyDescent="0.25">
      <c r="B17" s="964" t="s">
        <v>521</v>
      </c>
    </row>
    <row r="18" spans="2:2" x14ac:dyDescent="0.25">
      <c r="B18" s="964"/>
    </row>
    <row r="19" spans="2:2" x14ac:dyDescent="0.25">
      <c r="B19" s="964" t="s">
        <v>522</v>
      </c>
    </row>
    <row r="20" spans="2:2" x14ac:dyDescent="0.25">
      <c r="B20" s="964" t="s">
        <v>523</v>
      </c>
    </row>
    <row r="21" spans="2:2" x14ac:dyDescent="0.25">
      <c r="B21" s="964"/>
    </row>
    <row r="22" spans="2:2" ht="15.75" x14ac:dyDescent="0.25">
      <c r="B22" s="965" t="s">
        <v>524</v>
      </c>
    </row>
    <row r="23" spans="2:2" x14ac:dyDescent="0.25">
      <c r="B23" s="964" t="s">
        <v>525</v>
      </c>
    </row>
    <row r="24" spans="2:2" x14ac:dyDescent="0.25">
      <c r="B24" s="964" t="s">
        <v>526</v>
      </c>
    </row>
    <row r="25" spans="2:2" x14ac:dyDescent="0.25">
      <c r="B25" s="961"/>
    </row>
    <row r="26" spans="2:2" x14ac:dyDescent="0.25">
      <c r="B26" s="961"/>
    </row>
    <row r="27" spans="2:2" x14ac:dyDescent="0.25">
      <c r="B27" s="964" t="s">
        <v>527</v>
      </c>
    </row>
    <row r="28" spans="2:2" x14ac:dyDescent="0.25">
      <c r="B28" s="964" t="s">
        <v>528</v>
      </c>
    </row>
    <row r="29" spans="2:2" ht="15.75" thickBot="1" x14ac:dyDescent="0.3">
      <c r="B29" s="63"/>
    </row>
  </sheetData>
  <sheetProtection algorithmName="SHA-512" hashValue="tqWr9t+k9FhYVNb6mB+20cHWrCh8cJM6fMky8SSfa5kORr3SjD1jM15QGLHJcHVLv1ZSz/zV3o7YnT5YK0/rIg==" saltValue="tDcZ5mjeVk54JbJ46VTkO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4"/>
  <sheetViews>
    <sheetView zoomScale="70" zoomScaleNormal="70" workbookViewId="0">
      <selection activeCell="G29" sqref="G29:H29"/>
    </sheetView>
  </sheetViews>
  <sheetFormatPr defaultColWidth="11.42578125" defaultRowHeight="15" x14ac:dyDescent="0.25"/>
  <cols>
    <col min="1" max="1" width="5.7109375" style="13" customWidth="1"/>
    <col min="2" max="26" width="11.140625" style="13" customWidth="1"/>
    <col min="27" max="16384" width="11.42578125" style="13"/>
  </cols>
  <sheetData>
    <row r="1" spans="1:27" ht="15.75" thickBot="1" x14ac:dyDescent="0.3">
      <c r="A1" s="1"/>
      <c r="B1" s="1"/>
      <c r="C1" s="1"/>
      <c r="D1" s="1"/>
      <c r="E1" s="1"/>
      <c r="F1" s="1"/>
      <c r="G1" s="1"/>
      <c r="H1" s="46"/>
      <c r="I1" s="1"/>
      <c r="J1" s="1"/>
      <c r="K1" s="1"/>
      <c r="L1" s="1"/>
      <c r="M1" s="1"/>
      <c r="N1" s="46"/>
      <c r="O1" s="46"/>
      <c r="P1" s="46"/>
      <c r="Q1" s="46"/>
      <c r="R1" s="46"/>
      <c r="S1" s="46"/>
      <c r="T1" s="46"/>
      <c r="U1" s="46"/>
      <c r="V1" s="39"/>
      <c r="W1" s="1"/>
      <c r="X1" s="1"/>
      <c r="Y1" s="39"/>
      <c r="Z1" s="39"/>
      <c r="AA1" s="39"/>
    </row>
    <row r="2" spans="1:27" ht="28.5" customHeight="1" thickBot="1" x14ac:dyDescent="0.3">
      <c r="A2" s="1"/>
      <c r="B2" s="396" t="s">
        <v>452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8"/>
      <c r="V2" s="39"/>
      <c r="W2" s="1"/>
      <c r="X2" s="1"/>
      <c r="Y2" s="39"/>
      <c r="Z2" s="39"/>
      <c r="AA2" s="39"/>
    </row>
    <row r="3" spans="1:27" ht="15.75" customHeight="1" x14ac:dyDescent="0.25">
      <c r="A3" s="1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02"/>
      <c r="V3" s="39"/>
      <c r="W3" s="1"/>
      <c r="X3" s="1"/>
      <c r="Y3" s="39"/>
      <c r="Z3" s="39"/>
      <c r="AA3" s="39"/>
    </row>
    <row r="4" spans="1:27" ht="15.75" thickBot="1" x14ac:dyDescent="0.3">
      <c r="A4" s="1"/>
      <c r="B4" s="10"/>
      <c r="C4" s="3"/>
      <c r="D4" s="3"/>
      <c r="E4" s="3"/>
      <c r="F4" s="3"/>
      <c r="G4" s="3"/>
      <c r="H4" s="3"/>
      <c r="I4" s="12"/>
      <c r="J4" s="3"/>
      <c r="K4" s="3"/>
      <c r="L4" s="3"/>
      <c r="M4" s="3"/>
      <c r="N4" s="3"/>
      <c r="O4" s="12"/>
      <c r="P4" s="12"/>
      <c r="Q4" s="12"/>
      <c r="R4" s="12"/>
      <c r="S4" s="12"/>
      <c r="T4" s="12"/>
      <c r="U4" s="72"/>
      <c r="V4" s="39"/>
      <c r="W4" s="1"/>
      <c r="X4" s="1"/>
      <c r="Y4" s="39"/>
      <c r="Z4" s="39"/>
      <c r="AA4" s="39"/>
    </row>
    <row r="5" spans="1:27" ht="21.75" customHeight="1" thickBot="1" x14ac:dyDescent="0.4">
      <c r="A5" s="1"/>
      <c r="B5" s="10"/>
      <c r="C5" s="354" t="s">
        <v>66</v>
      </c>
      <c r="D5" s="355"/>
      <c r="E5" s="355"/>
      <c r="F5" s="355"/>
      <c r="G5" s="356"/>
      <c r="H5" s="3"/>
      <c r="I5" s="471" t="s">
        <v>133</v>
      </c>
      <c r="J5" s="453" t="s">
        <v>86</v>
      </c>
      <c r="K5" s="454"/>
      <c r="L5" s="455"/>
      <c r="M5" s="456" t="s">
        <v>69</v>
      </c>
      <c r="N5" s="3"/>
      <c r="O5" s="401" t="s">
        <v>454</v>
      </c>
      <c r="P5" s="399"/>
      <c r="Q5" s="400"/>
      <c r="R5" s="12"/>
      <c r="S5" s="255" t="s">
        <v>471</v>
      </c>
      <c r="T5" s="256"/>
      <c r="U5" s="72"/>
      <c r="V5" s="39"/>
      <c r="W5" s="1"/>
      <c r="X5" s="1"/>
      <c r="Y5" s="39"/>
      <c r="Z5" s="39"/>
      <c r="AA5" s="39"/>
    </row>
    <row r="6" spans="1:27" x14ac:dyDescent="0.25">
      <c r="A6" s="1"/>
      <c r="B6" s="10"/>
      <c r="C6" s="295" t="s">
        <v>57</v>
      </c>
      <c r="D6" s="296"/>
      <c r="E6" s="297"/>
      <c r="F6" s="917">
        <v>8</v>
      </c>
      <c r="G6" s="918"/>
      <c r="H6" s="3"/>
      <c r="I6" s="472"/>
      <c r="J6" s="473" t="s">
        <v>90</v>
      </c>
      <c r="K6" s="459" t="s">
        <v>87</v>
      </c>
      <c r="L6" s="460" t="s">
        <v>88</v>
      </c>
      <c r="M6" s="461" t="s">
        <v>89</v>
      </c>
      <c r="N6" s="3"/>
      <c r="O6" s="321" t="s">
        <v>134</v>
      </c>
      <c r="P6" s="62">
        <f>'1.1 Espectro de Diseño'!C7</f>
        <v>0.6</v>
      </c>
      <c r="Q6" s="107" t="s">
        <v>52</v>
      </c>
      <c r="R6" s="12"/>
      <c r="S6" s="432"/>
      <c r="T6" s="433"/>
      <c r="U6" s="72"/>
      <c r="V6" s="39"/>
      <c r="W6" s="1"/>
      <c r="X6" s="1"/>
      <c r="Y6" s="39"/>
      <c r="Z6" s="39"/>
      <c r="AA6" s="39"/>
    </row>
    <row r="7" spans="1:27" ht="15.75" thickBot="1" x14ac:dyDescent="0.3">
      <c r="A7" s="1"/>
      <c r="B7" s="10"/>
      <c r="C7" s="322" t="s">
        <v>58</v>
      </c>
      <c r="D7" s="323"/>
      <c r="E7" s="324"/>
      <c r="F7" s="919">
        <v>3</v>
      </c>
      <c r="G7" s="920"/>
      <c r="H7" s="3"/>
      <c r="I7" s="474"/>
      <c r="J7" s="475" t="s">
        <v>91</v>
      </c>
      <c r="K7" s="464" t="s">
        <v>67</v>
      </c>
      <c r="L7" s="465" t="s">
        <v>67</v>
      </c>
      <c r="M7" s="466" t="s">
        <v>453</v>
      </c>
      <c r="N7" s="3"/>
      <c r="O7" s="325" t="s">
        <v>93</v>
      </c>
      <c r="P7" s="915">
        <f>'1.1 Espectro de Diseño'!C6</f>
        <v>1.5</v>
      </c>
      <c r="Q7" s="111" t="s">
        <v>52</v>
      </c>
      <c r="R7" s="12"/>
      <c r="S7" s="432"/>
      <c r="T7" s="433"/>
      <c r="U7" s="72"/>
      <c r="V7" s="39"/>
      <c r="W7" s="1"/>
      <c r="X7" s="1"/>
      <c r="Y7" s="39"/>
      <c r="Z7" s="39"/>
      <c r="AA7" s="39"/>
    </row>
    <row r="8" spans="1:27" ht="15.75" thickBot="1" x14ac:dyDescent="0.3">
      <c r="A8" s="1"/>
      <c r="B8" s="10"/>
      <c r="C8" s="322" t="s">
        <v>59</v>
      </c>
      <c r="D8" s="323"/>
      <c r="E8" s="324"/>
      <c r="F8" s="919">
        <v>5.5</v>
      </c>
      <c r="G8" s="920"/>
      <c r="H8" s="3"/>
      <c r="I8" s="487" t="s">
        <v>14</v>
      </c>
      <c r="J8" s="927">
        <v>18.581479999999999</v>
      </c>
      <c r="K8" s="928">
        <f>J8*$F$16</f>
        <v>598.32365600000003</v>
      </c>
      <c r="L8" s="929">
        <v>288</v>
      </c>
      <c r="M8" s="428">
        <v>72</v>
      </c>
      <c r="N8" s="41"/>
      <c r="O8" s="321" t="s">
        <v>135</v>
      </c>
      <c r="P8" s="62">
        <f>'1.1 Espectro de Diseño'!C11</f>
        <v>0.89999999999999991</v>
      </c>
      <c r="Q8" s="107" t="s">
        <v>52</v>
      </c>
      <c r="R8" s="12"/>
      <c r="S8" s="257"/>
      <c r="T8" s="258"/>
      <c r="U8" s="72"/>
      <c r="V8" s="39"/>
      <c r="W8" s="1"/>
      <c r="X8" s="1"/>
      <c r="Y8" s="39"/>
      <c r="Z8" s="39"/>
      <c r="AA8" s="39"/>
    </row>
    <row r="9" spans="1:27" ht="15.75" thickBot="1" x14ac:dyDescent="0.3">
      <c r="A9" s="1"/>
      <c r="B9" s="10"/>
      <c r="C9" s="335" t="s">
        <v>56</v>
      </c>
      <c r="D9" s="336"/>
      <c r="E9" s="336"/>
      <c r="F9" s="921" t="s">
        <v>62</v>
      </c>
      <c r="G9" s="922"/>
      <c r="H9" s="3"/>
      <c r="I9" s="488" t="s">
        <v>147</v>
      </c>
      <c r="J9" s="930">
        <v>38.278559999999999</v>
      </c>
      <c r="K9" s="931">
        <f t="shared" ref="K9:K14" si="0">J9*$F$16</f>
        <v>1232.5696320000002</v>
      </c>
      <c r="L9" s="932">
        <v>1152</v>
      </c>
      <c r="M9" s="429">
        <v>60</v>
      </c>
      <c r="N9" s="41"/>
      <c r="O9" s="325" t="s">
        <v>136</v>
      </c>
      <c r="P9" s="915">
        <f>'1.1 Espectro de Diseño'!C10</f>
        <v>1.5</v>
      </c>
      <c r="Q9" s="111" t="s">
        <v>52</v>
      </c>
      <c r="R9" s="12"/>
      <c r="S9" s="12"/>
      <c r="T9" s="12"/>
      <c r="U9" s="72"/>
      <c r="V9" s="39"/>
      <c r="W9" s="1"/>
      <c r="X9" s="1"/>
      <c r="Y9" s="39"/>
      <c r="Z9" s="39"/>
      <c r="AA9" s="39"/>
    </row>
    <row r="10" spans="1:27" x14ac:dyDescent="0.25">
      <c r="A10" s="1"/>
      <c r="B10" s="10"/>
      <c r="C10" s="349"/>
      <c r="D10" s="350"/>
      <c r="E10" s="350"/>
      <c r="F10" s="341">
        <f>LOOKUP(F9,F91:F93,I91:I93)</f>
        <v>1</v>
      </c>
      <c r="G10" s="342"/>
      <c r="H10" s="3"/>
      <c r="I10" s="488" t="s">
        <v>17</v>
      </c>
      <c r="J10" s="930">
        <v>38.469079999999998</v>
      </c>
      <c r="K10" s="931">
        <f t="shared" si="0"/>
        <v>1238.7043760000001</v>
      </c>
      <c r="L10" s="932">
        <v>1152</v>
      </c>
      <c r="M10" s="429">
        <v>48</v>
      </c>
      <c r="N10" s="41"/>
      <c r="O10" s="326" t="s">
        <v>138</v>
      </c>
      <c r="P10" s="916">
        <f>'1.1 Espectro de Diseño'!C12</f>
        <v>1</v>
      </c>
      <c r="Q10" s="116" t="s">
        <v>52</v>
      </c>
      <c r="R10" s="12"/>
      <c r="S10" s="12"/>
      <c r="T10" s="12"/>
      <c r="U10" s="72"/>
      <c r="V10" s="39"/>
      <c r="W10" s="1"/>
      <c r="X10" s="1"/>
      <c r="Y10" s="39"/>
      <c r="Z10" s="39"/>
      <c r="AA10" s="39"/>
    </row>
    <row r="11" spans="1:27" ht="15.75" thickBot="1" x14ac:dyDescent="0.3">
      <c r="A11" s="1"/>
      <c r="B11" s="10"/>
      <c r="C11" s="327" t="s">
        <v>49</v>
      </c>
      <c r="D11" s="328"/>
      <c r="E11" s="329"/>
      <c r="F11" s="923">
        <v>72</v>
      </c>
      <c r="G11" s="60" t="s">
        <v>6</v>
      </c>
      <c r="H11" s="3"/>
      <c r="I11" s="488" t="s">
        <v>18</v>
      </c>
      <c r="J11" s="930">
        <v>38.779350000000001</v>
      </c>
      <c r="K11" s="931">
        <f t="shared" si="0"/>
        <v>1248.6950700000002</v>
      </c>
      <c r="L11" s="932">
        <v>1152</v>
      </c>
      <c r="M11" s="429">
        <v>36</v>
      </c>
      <c r="N11" s="41"/>
      <c r="O11" s="325" t="s">
        <v>137</v>
      </c>
      <c r="P11" s="915">
        <f>'1.1 Espectro de Diseño'!C13</f>
        <v>0.59999999999999987</v>
      </c>
      <c r="Q11" s="111" t="s">
        <v>52</v>
      </c>
      <c r="R11" s="12"/>
      <c r="S11" s="12"/>
      <c r="T11" s="12"/>
      <c r="U11" s="72"/>
      <c r="V11" s="39"/>
      <c r="W11" s="1"/>
      <c r="X11" s="1"/>
      <c r="Y11" s="39"/>
      <c r="Z11" s="39"/>
      <c r="AA11" s="39"/>
    </row>
    <row r="12" spans="1:27" ht="15.75" thickBot="1" x14ac:dyDescent="0.3">
      <c r="A12" s="1"/>
      <c r="B12" s="10"/>
      <c r="C12" s="96" t="s">
        <v>65</v>
      </c>
      <c r="D12" s="97"/>
      <c r="E12" s="98"/>
      <c r="F12" s="919" t="s">
        <v>46</v>
      </c>
      <c r="G12" s="920"/>
      <c r="H12" s="3"/>
      <c r="I12" s="488" t="s">
        <v>19</v>
      </c>
      <c r="J12" s="930">
        <v>39.01332</v>
      </c>
      <c r="K12" s="931">
        <f t="shared" si="0"/>
        <v>1256.2289040000001</v>
      </c>
      <c r="L12" s="932">
        <v>1152</v>
      </c>
      <c r="M12" s="429">
        <v>24</v>
      </c>
      <c r="N12" s="41"/>
      <c r="O12" s="271" t="s">
        <v>111</v>
      </c>
      <c r="P12" s="272"/>
      <c r="Q12" s="273"/>
      <c r="R12" s="12"/>
      <c r="S12" s="12"/>
      <c r="T12" s="12"/>
      <c r="U12" s="72"/>
      <c r="V12" s="39"/>
      <c r="W12" s="1"/>
      <c r="X12" s="1"/>
      <c r="Y12" s="39"/>
      <c r="Z12" s="39"/>
      <c r="AA12" s="39"/>
    </row>
    <row r="13" spans="1:27" x14ac:dyDescent="0.25">
      <c r="A13" s="1"/>
      <c r="B13" s="10"/>
      <c r="C13" s="322" t="s">
        <v>63</v>
      </c>
      <c r="D13" s="323"/>
      <c r="E13" s="324"/>
      <c r="F13" s="919">
        <v>0.9</v>
      </c>
      <c r="G13" s="920"/>
      <c r="H13" s="3"/>
      <c r="I13" s="488" t="s">
        <v>16</v>
      </c>
      <c r="J13" s="930">
        <v>39.051749999999998</v>
      </c>
      <c r="K13" s="931">
        <f t="shared" si="0"/>
        <v>1257.4663500000001</v>
      </c>
      <c r="L13" s="932">
        <v>1152</v>
      </c>
      <c r="M13" s="429">
        <v>12</v>
      </c>
      <c r="N13" s="41"/>
      <c r="O13" s="333" t="s">
        <v>38</v>
      </c>
      <c r="P13" s="83">
        <f>'1.1 Espectro de Diseño'!C25</f>
        <v>0.11999999999999998</v>
      </c>
      <c r="Q13" s="84" t="s">
        <v>151</v>
      </c>
      <c r="R13" s="12"/>
      <c r="S13" s="12"/>
      <c r="T13" s="12"/>
      <c r="U13" s="72"/>
      <c r="V13" s="39"/>
      <c r="W13" s="1"/>
      <c r="X13" s="1"/>
      <c r="Y13" s="39"/>
      <c r="Z13" s="39"/>
      <c r="AA13" s="39"/>
    </row>
    <row r="14" spans="1:27" ht="15.75" thickBot="1" x14ac:dyDescent="0.3">
      <c r="A14" s="1"/>
      <c r="B14" s="10"/>
      <c r="C14" s="322" t="s">
        <v>64</v>
      </c>
      <c r="D14" s="323"/>
      <c r="E14" s="324"/>
      <c r="F14" s="919">
        <v>1</v>
      </c>
      <c r="G14" s="920"/>
      <c r="H14" s="3"/>
      <c r="I14" s="489" t="s">
        <v>30</v>
      </c>
      <c r="J14" s="933">
        <v>0.67666999999999999</v>
      </c>
      <c r="K14" s="934">
        <f t="shared" si="0"/>
        <v>21.788774</v>
      </c>
      <c r="L14" s="430">
        <v>0</v>
      </c>
      <c r="M14" s="431">
        <v>0</v>
      </c>
      <c r="N14" s="41"/>
      <c r="O14" s="334" t="s">
        <v>118</v>
      </c>
      <c r="P14" s="85">
        <f>'1.1 Espectro de Diseño'!C26</f>
        <v>0.59999999999999987</v>
      </c>
      <c r="Q14" s="86" t="s">
        <v>151</v>
      </c>
      <c r="R14" s="12"/>
      <c r="S14" s="12"/>
      <c r="T14" s="12"/>
      <c r="U14" s="72"/>
      <c r="V14" s="39"/>
      <c r="W14" s="1"/>
      <c r="X14" s="1"/>
      <c r="Y14" s="39"/>
      <c r="Z14" s="39"/>
      <c r="AA14" s="39"/>
    </row>
    <row r="15" spans="1:27" ht="15.75" thickBot="1" x14ac:dyDescent="0.3">
      <c r="A15" s="1"/>
      <c r="B15" s="10"/>
      <c r="C15" s="327" t="s">
        <v>146</v>
      </c>
      <c r="D15" s="328"/>
      <c r="E15" s="329"/>
      <c r="F15" s="924">
        <f>IF(P10&lt;=Q96,R96,IF(P10&lt;=Q95,R95,IF(P10&lt;=Q94,R94,IF(P10&lt;=Q93,R93,R92))))</f>
        <v>1.4</v>
      </c>
      <c r="G15" s="925"/>
      <c r="H15" s="3"/>
      <c r="I15" s="418" t="s">
        <v>10</v>
      </c>
      <c r="J15" s="419"/>
      <c r="K15" s="352">
        <f>SUM(K8:K14)</f>
        <v>6853.7767620000004</v>
      </c>
      <c r="L15" s="353">
        <f>SUM(L8:L14)</f>
        <v>6048</v>
      </c>
      <c r="M15" s="233"/>
      <c r="N15" s="41"/>
      <c r="O15" s="337" t="s">
        <v>39</v>
      </c>
      <c r="P15" s="87">
        <f>'1.1 Espectro de Diseño'!C27</f>
        <v>12</v>
      </c>
      <c r="Q15" s="88" t="s">
        <v>151</v>
      </c>
      <c r="R15" s="12"/>
      <c r="S15" s="12"/>
      <c r="T15" s="12"/>
      <c r="U15" s="72"/>
      <c r="V15" s="39"/>
      <c r="W15" s="1"/>
      <c r="X15" s="1"/>
      <c r="Y15" s="39"/>
      <c r="Z15" s="39"/>
      <c r="AA15" s="39"/>
    </row>
    <row r="16" spans="1:27" x14ac:dyDescent="0.25">
      <c r="A16" s="1"/>
      <c r="B16" s="10"/>
      <c r="C16" s="335" t="s">
        <v>79</v>
      </c>
      <c r="D16" s="336"/>
      <c r="E16" s="336"/>
      <c r="F16" s="490">
        <v>32.200000000000003</v>
      </c>
      <c r="G16" s="109" t="s">
        <v>80</v>
      </c>
      <c r="H16" s="3"/>
      <c r="I16" s="89"/>
      <c r="J16" s="50"/>
      <c r="K16" s="31"/>
      <c r="L16" s="3"/>
      <c r="M16" s="41"/>
      <c r="N16" s="12"/>
      <c r="O16" s="3"/>
      <c r="P16" s="3"/>
      <c r="Q16" s="3"/>
      <c r="R16" s="12"/>
      <c r="S16" s="12"/>
      <c r="T16" s="12"/>
      <c r="U16" s="72"/>
      <c r="V16" s="39"/>
      <c r="W16" s="1"/>
      <c r="X16" s="1"/>
      <c r="Y16" s="39"/>
      <c r="Z16" s="39"/>
      <c r="AA16" s="39"/>
    </row>
    <row r="17" spans="1:27" x14ac:dyDescent="0.25">
      <c r="A17" s="1"/>
      <c r="B17" s="10"/>
      <c r="C17" s="343"/>
      <c r="D17" s="344"/>
      <c r="E17" s="344"/>
      <c r="F17" s="318">
        <v>386.22047244094</v>
      </c>
      <c r="G17" s="491" t="s">
        <v>114</v>
      </c>
      <c r="H17" s="3"/>
      <c r="I17" s="89"/>
      <c r="J17" s="50"/>
      <c r="K17" s="31"/>
      <c r="L17" s="3"/>
      <c r="M17" s="41"/>
      <c r="N17" s="12"/>
      <c r="O17" s="12"/>
      <c r="P17" s="41"/>
      <c r="Q17" s="41"/>
      <c r="R17" s="41"/>
      <c r="S17" s="41"/>
      <c r="T17" s="41"/>
      <c r="U17" s="72"/>
      <c r="V17" s="39"/>
      <c r="W17" s="1"/>
      <c r="X17" s="1"/>
      <c r="Y17" s="39"/>
      <c r="Z17" s="39"/>
      <c r="AA17" s="39"/>
    </row>
    <row r="18" spans="1:27" ht="15.75" thickBot="1" x14ac:dyDescent="0.3">
      <c r="A18" s="1"/>
      <c r="B18" s="10"/>
      <c r="C18" s="330" t="s">
        <v>96</v>
      </c>
      <c r="D18" s="331"/>
      <c r="E18" s="332"/>
      <c r="F18" s="926">
        <v>1.5</v>
      </c>
      <c r="G18" s="346" t="s">
        <v>83</v>
      </c>
      <c r="H18" s="150"/>
      <c r="I18" s="12"/>
      <c r="J18" s="89"/>
      <c r="K18" s="50"/>
      <c r="L18" s="31"/>
      <c r="M18" s="3"/>
      <c r="N18" s="41"/>
      <c r="O18" s="12"/>
      <c r="P18" s="12"/>
      <c r="Q18" s="41"/>
      <c r="R18" s="41"/>
      <c r="S18" s="41"/>
      <c r="T18" s="41"/>
      <c r="U18" s="72"/>
      <c r="V18" s="39"/>
      <c r="W18" s="1"/>
      <c r="X18" s="1"/>
      <c r="Y18" s="39"/>
      <c r="Z18" s="39"/>
      <c r="AA18" s="39"/>
    </row>
    <row r="19" spans="1:27" x14ac:dyDescent="0.25">
      <c r="A19" s="1"/>
      <c r="B19" s="412"/>
      <c r="C19" s="50"/>
      <c r="D19" s="50"/>
      <c r="E19" s="50"/>
      <c r="F19" s="50"/>
      <c r="G19" s="50"/>
      <c r="H19" s="50"/>
      <c r="I19" s="50"/>
      <c r="J19" s="50"/>
      <c r="K19" s="50"/>
      <c r="L19" s="31"/>
      <c r="M19" s="3"/>
      <c r="N19" s="41"/>
      <c r="O19" s="12"/>
      <c r="P19" s="12"/>
      <c r="Q19" s="41"/>
      <c r="R19" s="41"/>
      <c r="S19" s="41"/>
      <c r="T19" s="41"/>
      <c r="U19" s="72"/>
      <c r="V19" s="39"/>
      <c r="W19" s="1"/>
      <c r="X19" s="1"/>
      <c r="Y19" s="39"/>
      <c r="Z19" s="39"/>
      <c r="AA19" s="39"/>
    </row>
    <row r="20" spans="1:27" ht="15.75" thickBot="1" x14ac:dyDescent="0.3">
      <c r="A20" s="1"/>
      <c r="B20" s="413"/>
      <c r="C20" s="48"/>
      <c r="D20" s="48"/>
      <c r="E20" s="48"/>
      <c r="F20" s="48"/>
      <c r="G20" s="48"/>
      <c r="H20" s="48"/>
      <c r="I20" s="48"/>
      <c r="J20" s="48"/>
      <c r="K20" s="48"/>
      <c r="L20" s="95"/>
      <c r="M20" s="24"/>
      <c r="N20" s="69"/>
      <c r="O20" s="94"/>
      <c r="P20" s="94"/>
      <c r="Q20" s="69"/>
      <c r="R20" s="69"/>
      <c r="S20" s="69"/>
      <c r="T20" s="69"/>
      <c r="U20" s="74"/>
      <c r="V20" s="39"/>
      <c r="W20" s="1"/>
      <c r="X20" s="1"/>
      <c r="Y20" s="39"/>
      <c r="Z20" s="39"/>
      <c r="AA20" s="39"/>
    </row>
    <row r="21" spans="1:27" x14ac:dyDescent="0.25">
      <c r="A21" s="1"/>
      <c r="B21" s="3"/>
      <c r="C21" s="3"/>
      <c r="D21" s="3"/>
      <c r="E21" s="3"/>
      <c r="F21" s="3"/>
      <c r="G21" s="3"/>
      <c r="H21" s="3"/>
      <c r="I21" s="12"/>
      <c r="J21" s="89"/>
      <c r="K21" s="50"/>
      <c r="L21" s="31"/>
      <c r="M21" s="3"/>
      <c r="N21" s="41"/>
      <c r="O21" s="12"/>
      <c r="P21" s="12"/>
      <c r="Q21" s="41"/>
      <c r="R21" s="41"/>
      <c r="S21" s="41"/>
      <c r="T21" s="41"/>
      <c r="U21" s="41"/>
      <c r="V21" s="39"/>
      <c r="W21" s="1"/>
      <c r="X21" s="1"/>
      <c r="Y21" s="39"/>
      <c r="Z21" s="39"/>
      <c r="AA21" s="39"/>
    </row>
    <row r="22" spans="1:27" ht="15.75" thickBot="1" x14ac:dyDescent="0.3">
      <c r="A22" s="1"/>
      <c r="B22" s="1"/>
      <c r="C22" s="1"/>
      <c r="D22" s="1"/>
      <c r="E22" s="1"/>
      <c r="F22" s="1"/>
      <c r="G22" s="1"/>
      <c r="H22" s="46"/>
      <c r="I22" s="1"/>
      <c r="J22" s="1"/>
      <c r="K22" s="1"/>
      <c r="L22" s="1"/>
      <c r="M22" s="1"/>
      <c r="N22" s="46"/>
      <c r="O22" s="46"/>
      <c r="P22" s="46"/>
      <c r="Q22" s="46"/>
      <c r="R22" s="46"/>
      <c r="S22" s="46"/>
      <c r="T22" s="46"/>
      <c r="U22" s="46"/>
      <c r="V22" s="39"/>
      <c r="W22" s="1"/>
      <c r="X22" s="1"/>
      <c r="Y22" s="39"/>
      <c r="Z22" s="39"/>
      <c r="AA22" s="39"/>
    </row>
    <row r="23" spans="1:27" ht="28.5" customHeight="1" thickBot="1" x14ac:dyDescent="0.3">
      <c r="A23" s="1"/>
      <c r="B23" s="409" t="s">
        <v>451</v>
      </c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1"/>
      <c r="V23" s="39"/>
      <c r="W23" s="1"/>
      <c r="X23" s="1"/>
      <c r="Y23" s="39"/>
      <c r="Z23" s="39"/>
      <c r="AA23" s="39"/>
    </row>
    <row r="24" spans="1:27" x14ac:dyDescent="0.25">
      <c r="A24" s="1"/>
      <c r="B24" s="10"/>
      <c r="C24" s="3"/>
      <c r="D24" s="3"/>
      <c r="E24" s="3"/>
      <c r="F24" s="3"/>
      <c r="G24" s="3"/>
      <c r="H24" s="3"/>
      <c r="I24" s="3"/>
      <c r="J24" s="3"/>
      <c r="K24" s="31"/>
      <c r="L24" s="3"/>
      <c r="M24" s="3"/>
      <c r="N24" s="12"/>
      <c r="O24" s="12"/>
      <c r="P24" s="12"/>
      <c r="Q24" s="12"/>
      <c r="R24" s="12"/>
      <c r="S24" s="12"/>
      <c r="T24" s="12"/>
      <c r="U24" s="75"/>
      <c r="V24" s="39"/>
      <c r="W24" s="1"/>
      <c r="X24" s="1"/>
      <c r="Y24" s="39"/>
      <c r="Z24" s="39"/>
      <c r="AA24" s="39"/>
    </row>
    <row r="25" spans="1:27" ht="18" customHeight="1" x14ac:dyDescent="0.25">
      <c r="A25" s="1"/>
      <c r="B25" s="10"/>
      <c r="C25" s="1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1"/>
      <c r="V25" s="39"/>
      <c r="W25" s="1"/>
      <c r="X25" s="1"/>
      <c r="Y25" s="39"/>
      <c r="Z25" s="39"/>
      <c r="AA25" s="39"/>
    </row>
    <row r="26" spans="1:27" ht="18" customHeight="1" x14ac:dyDescent="0.25">
      <c r="A26" s="1"/>
      <c r="B26" s="10"/>
      <c r="C26" s="270" t="s">
        <v>208</v>
      </c>
      <c r="D26" s="270"/>
      <c r="E26" s="270"/>
      <c r="F26" s="270"/>
      <c r="G26" s="270"/>
      <c r="H26" s="270"/>
      <c r="I26" s="27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1"/>
      <c r="V26" s="39"/>
      <c r="W26" s="1"/>
      <c r="X26" s="1"/>
      <c r="Y26" s="39"/>
      <c r="Z26" s="39"/>
      <c r="AA26" s="39"/>
    </row>
    <row r="27" spans="1:27" x14ac:dyDescent="0.25">
      <c r="A27" s="1"/>
      <c r="B27" s="10"/>
      <c r="C27" s="286" t="s">
        <v>167</v>
      </c>
      <c r="D27" s="286"/>
      <c r="E27" s="142">
        <f>F11</f>
        <v>72</v>
      </c>
      <c r="F27" s="139" t="s">
        <v>6</v>
      </c>
      <c r="G27" s="215"/>
      <c r="H27" s="139"/>
      <c r="I27" s="15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1"/>
      <c r="V27" s="39"/>
      <c r="W27" s="1"/>
      <c r="X27" s="1"/>
      <c r="Y27" s="39"/>
      <c r="Z27" s="39"/>
      <c r="AA27" s="39"/>
    </row>
    <row r="28" spans="1:27" x14ac:dyDescent="0.25">
      <c r="A28" s="1"/>
      <c r="B28" s="10"/>
      <c r="C28" s="285" t="s">
        <v>166</v>
      </c>
      <c r="D28" s="285"/>
      <c r="E28" s="136">
        <f>IF(F12="Sin Arriostramiento",M91,M92)</f>
        <v>2.8000000000000001E-2</v>
      </c>
      <c r="F28" s="136"/>
      <c r="G28" s="492" t="s">
        <v>219</v>
      </c>
      <c r="H28" s="492"/>
      <c r="I28" s="19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1"/>
      <c r="V28" s="39"/>
      <c r="W28" s="1"/>
      <c r="X28" s="1"/>
      <c r="Y28" s="39"/>
      <c r="Z28" s="1"/>
      <c r="AA28" s="1"/>
    </row>
    <row r="29" spans="1:27" ht="15" customHeight="1" x14ac:dyDescent="0.25">
      <c r="A29" s="1"/>
      <c r="B29" s="10"/>
      <c r="C29" s="285" t="s">
        <v>165</v>
      </c>
      <c r="D29" s="285"/>
      <c r="E29" s="138">
        <f>IF(F12="Sin Arriostramiento",N91,N92)</f>
        <v>0.8</v>
      </c>
      <c r="F29" s="136"/>
      <c r="G29" s="492" t="s">
        <v>219</v>
      </c>
      <c r="H29" s="492"/>
      <c r="I29" s="19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1"/>
      <c r="V29" s="39"/>
      <c r="W29" s="1"/>
      <c r="X29" s="1"/>
      <c r="Y29" s="39"/>
      <c r="Z29" s="1"/>
      <c r="AA29" s="1"/>
    </row>
    <row r="30" spans="1:27" x14ac:dyDescent="0.25">
      <c r="A30" s="1"/>
      <c r="B30" s="10"/>
      <c r="C30" s="284" t="s">
        <v>164</v>
      </c>
      <c r="D30" s="284"/>
      <c r="E30" s="140">
        <f>E28*E27^E29</f>
        <v>0.85708526442053157</v>
      </c>
      <c r="F30" s="141" t="s">
        <v>50</v>
      </c>
      <c r="G30" s="493" t="s">
        <v>220</v>
      </c>
      <c r="H30" s="493"/>
      <c r="I30" s="193" t="s">
        <v>228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1"/>
      <c r="V30" s="39"/>
      <c r="W30" s="1"/>
      <c r="X30" s="1"/>
      <c r="Y30" s="39"/>
      <c r="Z30" s="1"/>
      <c r="AA30" s="1"/>
    </row>
    <row r="31" spans="1:27" ht="15.75" customHeight="1" x14ac:dyDescent="0.25">
      <c r="A31" s="1"/>
      <c r="B31" s="10"/>
      <c r="C31" s="494" t="s">
        <v>168</v>
      </c>
      <c r="D31" s="143"/>
      <c r="E31" s="138">
        <f>F15</f>
        <v>1.4</v>
      </c>
      <c r="F31" s="136"/>
      <c r="G31" s="492" t="s">
        <v>221</v>
      </c>
      <c r="H31" s="492"/>
      <c r="I31" s="49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1"/>
      <c r="V31" s="39"/>
      <c r="W31" s="1"/>
      <c r="X31" s="1"/>
      <c r="Y31" s="39"/>
      <c r="Z31" s="1"/>
      <c r="AA31" s="1"/>
    </row>
    <row r="32" spans="1:27" ht="15.75" customHeight="1" x14ac:dyDescent="0.25">
      <c r="A32" s="1"/>
      <c r="B32" s="10"/>
      <c r="C32" s="284" t="s">
        <v>230</v>
      </c>
      <c r="D32" s="284"/>
      <c r="E32" s="140">
        <f>E30*F15</f>
        <v>1.1999193701887441</v>
      </c>
      <c r="F32" s="141" t="s">
        <v>50</v>
      </c>
      <c r="G32" s="187"/>
      <c r="H32" s="496"/>
      <c r="I32" s="193" t="s">
        <v>229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1"/>
      <c r="V32" s="39"/>
      <c r="W32" s="1"/>
      <c r="X32" s="1"/>
      <c r="Y32" s="39"/>
      <c r="Z32" s="1"/>
      <c r="AA32" s="1"/>
    </row>
    <row r="33" spans="1:34" ht="15.75" customHeight="1" x14ac:dyDescent="0.25">
      <c r="A33" s="1"/>
      <c r="B33" s="10"/>
      <c r="C33" s="3"/>
      <c r="D33" s="3"/>
      <c r="E33" s="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1"/>
      <c r="V33" s="39"/>
      <c r="W33" s="1"/>
      <c r="X33" s="1"/>
      <c r="Y33" s="39"/>
      <c r="Z33" s="1"/>
      <c r="AA33" s="1"/>
    </row>
    <row r="34" spans="1:34" ht="15.75" customHeight="1" thickBot="1" x14ac:dyDescent="0.3">
      <c r="A34" s="1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5"/>
      <c r="V34" s="39"/>
      <c r="W34" s="1"/>
      <c r="X34" s="1"/>
      <c r="Y34" s="39"/>
      <c r="Z34" s="1"/>
      <c r="AA34" s="1"/>
    </row>
    <row r="35" spans="1:34" ht="15.75" customHeight="1" x14ac:dyDescent="0.25">
      <c r="A35" s="1"/>
      <c r="B35" s="7"/>
      <c r="C35" s="8"/>
      <c r="D35" s="8"/>
      <c r="E35" s="8"/>
      <c r="F35" s="8"/>
      <c r="G35" s="8"/>
      <c r="H35" s="8"/>
      <c r="I35" s="70"/>
      <c r="J35" s="70"/>
      <c r="K35" s="8"/>
      <c r="L35" s="8"/>
      <c r="M35" s="8"/>
      <c r="N35" s="8"/>
      <c r="O35" s="8"/>
      <c r="P35" s="8"/>
      <c r="Q35" s="8"/>
      <c r="R35" s="8"/>
      <c r="S35" s="8"/>
      <c r="T35" s="8"/>
      <c r="U35" s="9"/>
      <c r="V35" s="39"/>
      <c r="W35" s="1"/>
      <c r="X35" s="1"/>
      <c r="Y35" s="39"/>
      <c r="Z35" s="1"/>
      <c r="AA35" s="1"/>
    </row>
    <row r="36" spans="1:34" ht="15.75" customHeight="1" x14ac:dyDescent="0.25">
      <c r="A36" s="1"/>
      <c r="B36" s="10"/>
      <c r="C36" s="381" t="s">
        <v>457</v>
      </c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423"/>
      <c r="U36" s="11"/>
      <c r="V36" s="39"/>
      <c r="W36" s="1"/>
      <c r="X36" s="1"/>
      <c r="Y36" s="39"/>
      <c r="Z36" s="1"/>
      <c r="AA36" s="1"/>
    </row>
    <row r="37" spans="1:34" ht="15.75" customHeight="1" x14ac:dyDescent="0.25">
      <c r="A37" s="1"/>
      <c r="B37" s="10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423"/>
      <c r="U37" s="11"/>
      <c r="V37" s="39"/>
      <c r="W37" s="1"/>
      <c r="X37" s="1"/>
      <c r="Y37" s="39"/>
      <c r="Z37" s="1"/>
      <c r="AA37" s="1"/>
    </row>
    <row r="38" spans="1:34" ht="15.75" customHeight="1" x14ac:dyDescent="0.25">
      <c r="A38" s="1"/>
      <c r="B38" s="10"/>
      <c r="C38" s="3"/>
      <c r="D38" s="3"/>
      <c r="E38" s="3"/>
      <c r="F38" s="3"/>
      <c r="G38" s="3"/>
      <c r="H38" s="3"/>
      <c r="I38" s="3"/>
      <c r="J38" s="31"/>
      <c r="K38" s="3"/>
      <c r="L38" s="12"/>
      <c r="M38" s="3"/>
      <c r="N38" s="3"/>
      <c r="O38" s="3"/>
      <c r="P38" s="3"/>
      <c r="Q38" s="3"/>
      <c r="R38" s="3"/>
      <c r="S38" s="3"/>
      <c r="T38" s="3"/>
      <c r="U38" s="75"/>
      <c r="V38" s="39"/>
      <c r="W38" s="1"/>
      <c r="X38" s="1"/>
      <c r="Y38" s="39"/>
      <c r="Z38" s="1"/>
      <c r="AA38" s="1"/>
    </row>
    <row r="39" spans="1:34" ht="18" customHeight="1" x14ac:dyDescent="0.25">
      <c r="A39" s="1"/>
      <c r="B39" s="10"/>
      <c r="C39" s="270" t="s">
        <v>458</v>
      </c>
      <c r="D39" s="270"/>
      <c r="E39" s="270"/>
      <c r="F39" s="270"/>
      <c r="G39" s="270"/>
      <c r="H39" s="270"/>
      <c r="I39" s="270"/>
      <c r="J39" s="270"/>
      <c r="K39" s="3"/>
      <c r="L39" s="3"/>
      <c r="M39" s="3"/>
      <c r="N39" s="3"/>
      <c r="O39" s="3"/>
      <c r="P39" s="3"/>
      <c r="Q39" s="3"/>
      <c r="R39" s="3"/>
      <c r="S39" s="3"/>
      <c r="T39" s="3"/>
      <c r="U39" s="75"/>
      <c r="V39" s="39"/>
      <c r="W39" s="1"/>
      <c r="X39" s="1"/>
      <c r="Y39" s="39"/>
      <c r="Z39" s="46"/>
      <c r="AA39" s="1"/>
    </row>
    <row r="40" spans="1:34" x14ac:dyDescent="0.25">
      <c r="A40" s="1"/>
      <c r="B40" s="10"/>
      <c r="C40" s="215" t="s">
        <v>77</v>
      </c>
      <c r="D40" s="156"/>
      <c r="E40" s="156"/>
      <c r="F40" s="142">
        <f>P10/(F6/F10)</f>
        <v>0.125</v>
      </c>
      <c r="G40" s="139"/>
      <c r="H40" s="497" t="s">
        <v>231</v>
      </c>
      <c r="I40" s="497"/>
      <c r="J40" s="200" t="s">
        <v>236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75"/>
      <c r="V40" s="39"/>
      <c r="W40" s="1"/>
      <c r="X40" s="1"/>
      <c r="Y40" s="39"/>
      <c r="Z40" s="46"/>
      <c r="AA40" s="1"/>
      <c r="AB40" s="39"/>
      <c r="AC40" s="39"/>
      <c r="AD40" s="39"/>
    </row>
    <row r="41" spans="1:34" x14ac:dyDescent="0.25">
      <c r="A41" s="1"/>
      <c r="B41" s="10"/>
      <c r="C41" s="145" t="s">
        <v>170</v>
      </c>
      <c r="D41" s="143"/>
      <c r="E41" s="143"/>
      <c r="F41" s="144">
        <f>IF(E32&lt;=P15,P11/(E32*(F6/F10)),P11*P15/(E32*E32*(F6/F10)))</f>
        <v>6.2504199751523881E-2</v>
      </c>
      <c r="G41" s="155" t="str">
        <f>IF(E32&lt;=P15," (T ≤ TL) ","(T &gt; TL)")</f>
        <v xml:space="preserve"> (T ≤ TL) </v>
      </c>
      <c r="H41" s="492" t="s">
        <v>240</v>
      </c>
      <c r="I41" s="492"/>
      <c r="J41" s="198"/>
      <c r="K41" s="3"/>
      <c r="L41" s="3"/>
      <c r="M41" s="3"/>
      <c r="N41" s="3"/>
      <c r="O41" s="3"/>
      <c r="P41" s="3"/>
      <c r="Q41" s="3"/>
      <c r="R41" s="3"/>
      <c r="S41" s="3"/>
      <c r="T41" s="3"/>
      <c r="U41" s="75"/>
      <c r="V41" s="39"/>
      <c r="W41" s="1"/>
      <c r="X41" s="1"/>
      <c r="Y41" s="39"/>
      <c r="Z41" s="46"/>
      <c r="AA41" s="1"/>
      <c r="AB41" s="39"/>
      <c r="AC41" s="39"/>
      <c r="AD41" s="39"/>
    </row>
    <row r="42" spans="1:34" x14ac:dyDescent="0.25">
      <c r="A42" s="1"/>
      <c r="B42" s="10"/>
      <c r="C42" s="214" t="s">
        <v>174</v>
      </c>
      <c r="D42" s="143"/>
      <c r="E42" s="150"/>
      <c r="F42" s="144">
        <f>IF(P6&gt;=0.6,0.5*P6/(F6/F10)," ")</f>
        <v>3.7499999999999999E-2</v>
      </c>
      <c r="G42" s="136"/>
      <c r="H42" s="492" t="s">
        <v>232</v>
      </c>
      <c r="I42" s="492"/>
      <c r="J42" s="186"/>
      <c r="K42" s="3"/>
      <c r="L42" s="3"/>
      <c r="M42" s="3"/>
      <c r="N42" s="3"/>
      <c r="O42" s="3"/>
      <c r="P42" s="3"/>
      <c r="Q42" s="3"/>
      <c r="R42" s="3"/>
      <c r="S42" s="3"/>
      <c r="T42" s="3"/>
      <c r="U42" s="75"/>
      <c r="V42" s="39"/>
      <c r="W42" s="1"/>
      <c r="X42" s="1"/>
      <c r="Y42" s="39"/>
      <c r="Z42" s="46"/>
      <c r="AA42" s="1"/>
      <c r="AB42" s="39"/>
      <c r="AC42" s="39"/>
      <c r="AD42" s="39"/>
    </row>
    <row r="43" spans="1:34" ht="15.75" thickBot="1" x14ac:dyDescent="0.3">
      <c r="A43" s="1"/>
      <c r="B43" s="10"/>
      <c r="C43" s="213" t="s">
        <v>171</v>
      </c>
      <c r="D43" s="157"/>
      <c r="E43" s="157"/>
      <c r="F43" s="151">
        <f>IF(AND(F40&lt;=F41,F40&gt;=F42),F40,IF(F40&gt;F41,F41,F42))</f>
        <v>6.2504199751523881E-2</v>
      </c>
      <c r="G43" s="152"/>
      <c r="H43" s="493"/>
      <c r="I43" s="493"/>
      <c r="J43" s="187"/>
      <c r="K43" s="3"/>
      <c r="L43" s="3"/>
      <c r="M43" s="3"/>
      <c r="N43" s="3"/>
      <c r="O43" s="3"/>
      <c r="P43" s="3"/>
      <c r="Q43" s="3"/>
      <c r="R43" s="3"/>
      <c r="S43" s="3"/>
      <c r="T43" s="3"/>
      <c r="U43" s="75"/>
      <c r="V43" s="39"/>
      <c r="W43" s="1"/>
      <c r="X43" s="1"/>
      <c r="Y43" s="39"/>
      <c r="Z43" s="46"/>
      <c r="AA43" s="1"/>
      <c r="AB43" s="1"/>
      <c r="AC43" s="1"/>
      <c r="AD43" s="1"/>
    </row>
    <row r="44" spans="1:34" ht="15.75" customHeight="1" x14ac:dyDescent="0.25">
      <c r="A44" s="1"/>
      <c r="B44" s="71"/>
      <c r="C44" s="153" t="s">
        <v>172</v>
      </c>
      <c r="D44" s="146"/>
      <c r="E44" s="146"/>
      <c r="F44" s="372">
        <f>F43*K15</f>
        <v>428.3898317844006</v>
      </c>
      <c r="G44" s="371" t="s">
        <v>11</v>
      </c>
      <c r="H44" s="493" t="s">
        <v>233</v>
      </c>
      <c r="I44" s="493"/>
      <c r="J44" s="193" t="s">
        <v>237</v>
      </c>
      <c r="K44" s="3"/>
      <c r="L44" s="357" t="s">
        <v>455</v>
      </c>
      <c r="M44" s="358"/>
      <c r="N44" s="3"/>
      <c r="O44" s="3"/>
      <c r="P44" s="3"/>
      <c r="Q44" s="3"/>
      <c r="R44" s="3"/>
      <c r="S44" s="3"/>
      <c r="T44" s="3"/>
      <c r="U44" s="75"/>
      <c r="V44" s="39"/>
      <c r="W44" s="1"/>
      <c r="X44" s="1"/>
      <c r="Y44" s="39"/>
      <c r="Z44" s="46"/>
      <c r="AA44" s="1"/>
    </row>
    <row r="45" spans="1:34" s="40" customFormat="1" x14ac:dyDescent="0.25">
      <c r="A45" s="1"/>
      <c r="B45" s="64"/>
      <c r="C45" s="287" t="s">
        <v>173</v>
      </c>
      <c r="D45" s="217" t="s">
        <v>81</v>
      </c>
      <c r="E45" s="147"/>
      <c r="F45" s="148">
        <f>F44/F18</f>
        <v>285.5932211896004</v>
      </c>
      <c r="G45" s="139" t="s">
        <v>11</v>
      </c>
      <c r="H45" s="497" t="s">
        <v>234</v>
      </c>
      <c r="I45" s="497"/>
      <c r="J45" s="200" t="s">
        <v>239</v>
      </c>
      <c r="K45" s="3"/>
      <c r="L45" s="359"/>
      <c r="M45" s="360"/>
      <c r="N45" s="3"/>
      <c r="O45" s="3"/>
      <c r="P45" s="3"/>
      <c r="Q45" s="3"/>
      <c r="R45" s="3"/>
      <c r="S45" s="3"/>
      <c r="T45" s="3"/>
      <c r="U45" s="75"/>
      <c r="V45" s="39"/>
      <c r="W45" s="1"/>
      <c r="X45" s="1"/>
      <c r="Y45" s="39"/>
      <c r="Z45" s="46"/>
      <c r="AA45" s="39"/>
      <c r="AB45" s="13"/>
      <c r="AC45" s="13"/>
      <c r="AD45" s="13"/>
      <c r="AE45" s="13"/>
      <c r="AF45" s="13"/>
      <c r="AG45" s="13"/>
      <c r="AH45" s="13"/>
    </row>
    <row r="46" spans="1:34" s="40" customFormat="1" ht="15.75" thickBot="1" x14ac:dyDescent="0.3">
      <c r="A46" s="1"/>
      <c r="B46" s="64"/>
      <c r="C46" s="288"/>
      <c r="D46" s="218" t="s">
        <v>82</v>
      </c>
      <c r="E46" s="231"/>
      <c r="F46" s="149">
        <f>0.75*F44</f>
        <v>321.29237383830048</v>
      </c>
      <c r="G46" s="137" t="s">
        <v>11</v>
      </c>
      <c r="H46" s="493" t="s">
        <v>235</v>
      </c>
      <c r="I46" s="493"/>
      <c r="J46" s="193" t="s">
        <v>238</v>
      </c>
      <c r="K46" s="3"/>
      <c r="L46" s="361"/>
      <c r="M46" s="362"/>
      <c r="N46" s="3"/>
      <c r="O46" s="3"/>
      <c r="P46" s="3"/>
      <c r="Q46" s="3"/>
      <c r="R46" s="3"/>
      <c r="S46" s="3"/>
      <c r="T46" s="3"/>
      <c r="U46" s="75"/>
      <c r="V46" s="39"/>
      <c r="W46" s="1"/>
      <c r="X46" s="1"/>
      <c r="Y46" s="39"/>
      <c r="Z46" s="46"/>
      <c r="AA46" s="39"/>
      <c r="AB46" s="13"/>
      <c r="AC46" s="13"/>
      <c r="AD46" s="13"/>
      <c r="AE46" s="13"/>
      <c r="AF46" s="13"/>
      <c r="AG46" s="13"/>
      <c r="AH46" s="13"/>
    </row>
    <row r="47" spans="1:34" s="40" customFormat="1" ht="15.75" customHeight="1" thickBot="1" x14ac:dyDescent="0.3">
      <c r="A47" s="1"/>
      <c r="B47" s="64"/>
      <c r="C47" s="154" t="s">
        <v>169</v>
      </c>
      <c r="D47" s="137"/>
      <c r="E47" s="137"/>
      <c r="F47" s="370">
        <f>MAX(F45:F46)</f>
        <v>321.29237383830048</v>
      </c>
      <c r="G47" s="371" t="s">
        <v>450</v>
      </c>
      <c r="H47" s="498"/>
      <c r="I47" s="498"/>
      <c r="J47" s="199"/>
      <c r="K47" s="3"/>
      <c r="L47" s="368">
        <f>MAX(F45/K15,F46/K15)</f>
        <v>4.6878149813642918E-2</v>
      </c>
      <c r="M47" s="369"/>
      <c r="N47" s="3"/>
      <c r="O47" s="3"/>
      <c r="P47" s="3"/>
      <c r="Q47" s="3"/>
      <c r="R47" s="3"/>
      <c r="S47" s="3"/>
      <c r="T47" s="3"/>
      <c r="U47" s="75"/>
      <c r="V47" s="39"/>
      <c r="W47" s="1"/>
      <c r="X47" s="1"/>
      <c r="Y47" s="39"/>
      <c r="Z47" s="46"/>
      <c r="AA47" s="39"/>
      <c r="AB47" s="13"/>
      <c r="AC47" s="13"/>
      <c r="AD47" s="13"/>
      <c r="AE47" s="13"/>
      <c r="AF47" s="13"/>
      <c r="AG47" s="13"/>
      <c r="AH47" s="13"/>
    </row>
    <row r="48" spans="1:34" s="40" customFormat="1" ht="15.75" customHeight="1" x14ac:dyDescent="0.25">
      <c r="A48" s="1"/>
      <c r="B48" s="64"/>
      <c r="C48" s="195"/>
      <c r="D48" s="136"/>
      <c r="E48" s="136"/>
      <c r="F48" s="196"/>
      <c r="G48" s="197"/>
      <c r="H48" s="214"/>
      <c r="I48" s="214"/>
      <c r="J48" s="195"/>
      <c r="K48" s="3"/>
      <c r="L48" s="3"/>
      <c r="M48" s="3"/>
      <c r="N48" s="3"/>
      <c r="O48" s="3"/>
      <c r="P48" s="3"/>
      <c r="Q48" s="3"/>
      <c r="R48" s="3"/>
      <c r="S48" s="3"/>
      <c r="T48" s="3"/>
      <c r="U48" s="75"/>
      <c r="V48" s="39"/>
      <c r="W48" s="1"/>
      <c r="X48" s="1"/>
      <c r="Y48" s="39"/>
      <c r="Z48" s="46"/>
      <c r="AA48" s="39"/>
      <c r="AB48" s="13"/>
      <c r="AC48" s="13"/>
      <c r="AD48" s="13"/>
      <c r="AE48" s="13"/>
      <c r="AF48" s="13"/>
      <c r="AG48" s="13"/>
      <c r="AH48" s="13"/>
    </row>
    <row r="49" spans="1:35" s="40" customFormat="1" x14ac:dyDescent="0.25">
      <c r="A49" s="1"/>
      <c r="B49" s="64"/>
      <c r="C49" s="41"/>
      <c r="D49" s="41"/>
      <c r="E49" s="41"/>
      <c r="F49" s="41"/>
      <c r="G49" s="41"/>
      <c r="H49" s="247"/>
      <c r="I49" s="3"/>
      <c r="J49" s="194"/>
      <c r="K49" s="3"/>
      <c r="L49" s="3"/>
      <c r="M49" s="3"/>
      <c r="N49" s="3"/>
      <c r="O49" s="3"/>
      <c r="P49" s="3"/>
      <c r="Q49" s="3"/>
      <c r="R49" s="3"/>
      <c r="S49" s="3"/>
      <c r="T49" s="3"/>
      <c r="U49" s="75"/>
      <c r="V49" s="39"/>
      <c r="W49" s="1"/>
      <c r="X49" s="1"/>
      <c r="Y49" s="39"/>
      <c r="Z49" s="46"/>
      <c r="AA49" s="39"/>
      <c r="AB49" s="13"/>
      <c r="AC49" s="13"/>
      <c r="AD49" s="13"/>
      <c r="AE49" s="13"/>
      <c r="AF49" s="13"/>
      <c r="AG49" s="13"/>
      <c r="AH49" s="13"/>
    </row>
    <row r="50" spans="1:35" s="40" customFormat="1" x14ac:dyDescent="0.25">
      <c r="A50" s="1"/>
      <c r="B50" s="64"/>
      <c r="C50" s="278" t="s">
        <v>176</v>
      </c>
      <c r="D50" s="278"/>
      <c r="E50" s="278"/>
      <c r="F50" s="278"/>
      <c r="G50" s="278"/>
      <c r="H50" s="278"/>
      <c r="I50" s="278"/>
      <c r="J50" s="278"/>
      <c r="K50" s="201"/>
      <c r="L50" s="316" t="s">
        <v>68</v>
      </c>
      <c r="M50" s="317"/>
      <c r="N50" s="3"/>
      <c r="O50" s="3"/>
      <c r="P50" s="3"/>
      <c r="Q50" s="3"/>
      <c r="R50" s="3"/>
      <c r="S50" s="3"/>
      <c r="T50" s="3"/>
      <c r="U50" s="75"/>
      <c r="V50" s="39"/>
      <c r="W50" s="1"/>
      <c r="X50" s="1"/>
      <c r="Y50" s="39"/>
      <c r="Z50" s="46"/>
      <c r="AA50" s="46"/>
      <c r="AB50" s="13"/>
      <c r="AC50" s="13"/>
      <c r="AD50" s="13"/>
      <c r="AE50" s="13"/>
      <c r="AF50" s="13"/>
      <c r="AG50" s="13"/>
      <c r="AH50" s="13"/>
      <c r="AI50" s="13"/>
    </row>
    <row r="51" spans="1:35" s="40" customFormat="1" ht="17.25" customHeight="1" x14ac:dyDescent="0.25">
      <c r="A51" s="1"/>
      <c r="B51" s="64"/>
      <c r="C51" s="268" t="s">
        <v>22</v>
      </c>
      <c r="D51" s="251" t="s">
        <v>241</v>
      </c>
      <c r="E51" s="251" t="s">
        <v>242</v>
      </c>
      <c r="F51" s="268" t="s">
        <v>9</v>
      </c>
      <c r="G51" s="347"/>
      <c r="H51" s="224" t="s">
        <v>243</v>
      </c>
      <c r="I51" s="363" t="s">
        <v>244</v>
      </c>
      <c r="J51" s="363"/>
      <c r="K51" s="202"/>
      <c r="L51" s="227" t="s">
        <v>20</v>
      </c>
      <c r="M51" s="226" t="s">
        <v>8</v>
      </c>
      <c r="N51" s="3"/>
      <c r="O51" s="3"/>
      <c r="P51" s="3"/>
      <c r="Q51" s="3"/>
      <c r="R51" s="3"/>
      <c r="S51" s="3"/>
      <c r="T51" s="3"/>
      <c r="U51" s="75"/>
      <c r="V51" s="39"/>
      <c r="W51" s="1"/>
      <c r="X51" s="1"/>
      <c r="Y51" s="39"/>
      <c r="Z51" s="46"/>
      <c r="AA51" s="46"/>
      <c r="AB51" s="13"/>
      <c r="AC51" s="13"/>
      <c r="AD51" s="13"/>
      <c r="AE51" s="13"/>
      <c r="AF51" s="13"/>
      <c r="AG51" s="13"/>
      <c r="AH51" s="13"/>
      <c r="AI51" s="13"/>
    </row>
    <row r="52" spans="1:35" s="40" customFormat="1" ht="12.75" customHeight="1" x14ac:dyDescent="0.25">
      <c r="A52" s="1"/>
      <c r="B52" s="64"/>
      <c r="C52" s="269"/>
      <c r="D52" s="252"/>
      <c r="E52" s="252"/>
      <c r="F52" s="269"/>
      <c r="G52" s="204"/>
      <c r="H52" s="228" t="s">
        <v>246</v>
      </c>
      <c r="I52" s="364" t="s">
        <v>245</v>
      </c>
      <c r="J52" s="364"/>
      <c r="K52" s="202"/>
      <c r="L52" s="238">
        <v>0</v>
      </c>
      <c r="M52" s="319">
        <f>M8</f>
        <v>72</v>
      </c>
      <c r="N52" s="3"/>
      <c r="O52" s="3"/>
      <c r="P52" s="3"/>
      <c r="Q52" s="3"/>
      <c r="R52" s="3"/>
      <c r="S52" s="3"/>
      <c r="T52" s="3"/>
      <c r="U52" s="75"/>
      <c r="V52" s="39"/>
      <c r="W52" s="1"/>
      <c r="X52" s="1"/>
      <c r="Y52" s="39"/>
      <c r="Z52" s="46"/>
      <c r="AA52" s="46"/>
      <c r="AB52" s="13"/>
      <c r="AC52" s="13"/>
      <c r="AD52" s="13"/>
      <c r="AE52" s="13"/>
      <c r="AF52" s="13"/>
      <c r="AG52" s="13"/>
      <c r="AH52" s="13"/>
      <c r="AI52" s="13"/>
    </row>
    <row r="53" spans="1:35" s="40" customFormat="1" x14ac:dyDescent="0.25">
      <c r="A53" s="1"/>
      <c r="B53" s="64"/>
      <c r="C53" s="123" t="s">
        <v>14</v>
      </c>
      <c r="D53" s="159">
        <f>K8</f>
        <v>598.32365600000003</v>
      </c>
      <c r="E53" s="160">
        <f>M8</f>
        <v>72</v>
      </c>
      <c r="F53" s="161">
        <f>IF($E$32&lt;=0.5,$H$97,IF($E$32&lt;=2.5,$H$98,$H$99))</f>
        <v>1.349959685094372</v>
      </c>
      <c r="G53" s="205">
        <f t="shared" ref="G53:G58" si="1">D53*(E53^F53)</f>
        <v>192424.41102366769</v>
      </c>
      <c r="H53" s="162">
        <f t="shared" ref="H53:H58" si="2">G53/$G$59</f>
        <v>0.18901782282444385</v>
      </c>
      <c r="I53" s="365">
        <f t="shared" ref="I53:I58" si="3">H53*$F$47</f>
        <v>60.729984993012856</v>
      </c>
      <c r="J53" s="365"/>
      <c r="K53" s="219"/>
      <c r="L53" s="320">
        <f>I53</f>
        <v>60.729984993012856</v>
      </c>
      <c r="M53" s="239">
        <f>M8</f>
        <v>72</v>
      </c>
      <c r="N53" s="3"/>
      <c r="O53" s="3"/>
      <c r="P53" s="3"/>
      <c r="Q53" s="3"/>
      <c r="R53" s="3"/>
      <c r="S53" s="3"/>
      <c r="T53" s="3"/>
      <c r="U53" s="75"/>
      <c r="V53" s="39"/>
      <c r="W53" s="1"/>
      <c r="X53" s="1"/>
      <c r="Y53" s="39"/>
      <c r="Z53" s="39"/>
      <c r="AA53" s="39"/>
      <c r="AB53" s="13"/>
      <c r="AC53" s="13"/>
      <c r="AD53" s="13"/>
      <c r="AE53" s="13"/>
      <c r="AF53" s="13"/>
      <c r="AG53" s="13"/>
      <c r="AH53" s="13"/>
      <c r="AI53" s="13"/>
    </row>
    <row r="54" spans="1:35" s="40" customFormat="1" x14ac:dyDescent="0.25">
      <c r="A54" s="1"/>
      <c r="B54" s="64"/>
      <c r="C54" s="124" t="s">
        <v>17</v>
      </c>
      <c r="D54" s="163">
        <f>K9</f>
        <v>1232.5696320000002</v>
      </c>
      <c r="E54" s="164">
        <f>M9</f>
        <v>60</v>
      </c>
      <c r="F54" s="165">
        <f>IF($E$32&lt;=0.5,$H$97,IF($E$32&lt;=2.5,$H$98,$H$99))</f>
        <v>1.349959685094372</v>
      </c>
      <c r="G54" s="206">
        <f t="shared" si="1"/>
        <v>309915.97668095981</v>
      </c>
      <c r="H54" s="166">
        <f t="shared" si="2"/>
        <v>0.30442937493799049</v>
      </c>
      <c r="I54" s="366">
        <f t="shared" si="3"/>
        <v>97.810836539936986</v>
      </c>
      <c r="J54" s="366"/>
      <c r="K54" s="219"/>
      <c r="L54" s="320">
        <f>I54</f>
        <v>97.810836539936986</v>
      </c>
      <c r="M54" s="239">
        <f>M9</f>
        <v>60</v>
      </c>
      <c r="N54" s="3"/>
      <c r="O54" s="3"/>
      <c r="P54" s="3"/>
      <c r="Q54" s="3"/>
      <c r="R54" s="3"/>
      <c r="S54" s="3"/>
      <c r="T54" s="3"/>
      <c r="U54" s="75"/>
      <c r="V54" s="39"/>
      <c r="W54" s="1"/>
      <c r="X54" s="1"/>
      <c r="Y54" s="39"/>
      <c r="Z54" s="39"/>
      <c r="AA54" s="39"/>
      <c r="AB54" s="13"/>
      <c r="AC54" s="13"/>
      <c r="AD54" s="13"/>
      <c r="AE54" s="13"/>
      <c r="AF54" s="13"/>
      <c r="AG54" s="13"/>
      <c r="AH54" s="13"/>
      <c r="AI54" s="13"/>
    </row>
    <row r="55" spans="1:35" s="40" customFormat="1" x14ac:dyDescent="0.25">
      <c r="A55" s="1"/>
      <c r="B55" s="64"/>
      <c r="C55" s="230" t="s">
        <v>18</v>
      </c>
      <c r="D55" s="163">
        <f>K10</f>
        <v>1238.7043760000001</v>
      </c>
      <c r="E55" s="164">
        <f>M10</f>
        <v>48</v>
      </c>
      <c r="F55" s="165">
        <f>IF($E$32&lt;=0.5,$H$97,IF($E$32&lt;=2.5,$H$98,$H$99))</f>
        <v>1.349959685094372</v>
      </c>
      <c r="G55" s="206">
        <f t="shared" si="1"/>
        <v>230449.39017558793</v>
      </c>
      <c r="H55" s="166">
        <f t="shared" si="2"/>
        <v>0.22636962623652132</v>
      </c>
      <c r="I55" s="366">
        <f t="shared" si="3"/>
        <v>72.730834578420755</v>
      </c>
      <c r="J55" s="366"/>
      <c r="K55" s="219"/>
      <c r="L55" s="320">
        <f>I55</f>
        <v>72.730834578420755</v>
      </c>
      <c r="M55" s="239">
        <f>M10</f>
        <v>48</v>
      </c>
      <c r="N55" s="3"/>
      <c r="O55" s="3"/>
      <c r="P55" s="3"/>
      <c r="Q55" s="3"/>
      <c r="R55" s="3"/>
      <c r="S55" s="3"/>
      <c r="T55" s="3"/>
      <c r="U55" s="75"/>
      <c r="V55" s="39"/>
      <c r="W55" s="1"/>
      <c r="X55" s="1"/>
      <c r="Y55" s="39"/>
      <c r="Z55" s="39"/>
      <c r="AA55" s="39"/>
      <c r="AB55" s="13"/>
      <c r="AC55" s="13"/>
      <c r="AD55" s="13"/>
      <c r="AE55" s="13"/>
      <c r="AF55" s="13"/>
      <c r="AG55" s="13"/>
      <c r="AH55" s="13"/>
      <c r="AI55" s="13"/>
    </row>
    <row r="56" spans="1:35" s="40" customFormat="1" x14ac:dyDescent="0.25">
      <c r="A56" s="1"/>
      <c r="B56" s="64"/>
      <c r="C56" s="124" t="s">
        <v>19</v>
      </c>
      <c r="D56" s="163">
        <f>K11</f>
        <v>1248.6950700000002</v>
      </c>
      <c r="E56" s="164">
        <f>M11</f>
        <v>36</v>
      </c>
      <c r="F56" s="165">
        <f>IF($E$32&lt;=0.5,$H$97,IF($E$32&lt;=2.5,$H$98,$H$99))</f>
        <v>1.349959685094372</v>
      </c>
      <c r="G56" s="206">
        <f t="shared" si="1"/>
        <v>157544.05913937744</v>
      </c>
      <c r="H56" s="166">
        <f t="shared" si="2"/>
        <v>0.15475497572804239</v>
      </c>
      <c r="I56" s="366">
        <f t="shared" si="3"/>
        <v>49.721593514951316</v>
      </c>
      <c r="J56" s="366"/>
      <c r="K56" s="219"/>
      <c r="L56" s="320">
        <f>I56</f>
        <v>49.721593514951316</v>
      </c>
      <c r="M56" s="239">
        <f>M11</f>
        <v>36</v>
      </c>
      <c r="N56" s="3"/>
      <c r="O56" s="3"/>
      <c r="P56" s="3"/>
      <c r="Q56" s="3"/>
      <c r="R56" s="3"/>
      <c r="S56" s="3"/>
      <c r="T56" s="3"/>
      <c r="U56" s="75"/>
      <c r="V56" s="39"/>
      <c r="W56" s="1"/>
      <c r="X56" s="1"/>
      <c r="Y56" s="39"/>
      <c r="Z56" s="39"/>
      <c r="AA56" s="39"/>
      <c r="AB56" s="13"/>
      <c r="AC56" s="13"/>
      <c r="AD56" s="13"/>
      <c r="AE56" s="13"/>
      <c r="AF56" s="13"/>
      <c r="AG56" s="13"/>
      <c r="AH56" s="13"/>
      <c r="AI56" s="13"/>
    </row>
    <row r="57" spans="1:35" s="40" customFormat="1" x14ac:dyDescent="0.25">
      <c r="A57" s="1"/>
      <c r="B57" s="64"/>
      <c r="C57" s="230" t="s">
        <v>16</v>
      </c>
      <c r="D57" s="163">
        <f>K12</f>
        <v>1256.2289040000001</v>
      </c>
      <c r="E57" s="164">
        <f>M12</f>
        <v>24</v>
      </c>
      <c r="F57" s="165">
        <f>IF($E$32&lt;=0.5,$H$97,IF($E$32&lt;=2.5,$H$98,$H$99))</f>
        <v>1.349959685094372</v>
      </c>
      <c r="G57" s="206">
        <f t="shared" si="1"/>
        <v>91685.005398117224</v>
      </c>
      <c r="H57" s="166">
        <f t="shared" si="2"/>
        <v>9.0061858647798809E-2</v>
      </c>
      <c r="I57" s="366">
        <f t="shared" si="3"/>
        <v>28.936188357240749</v>
      </c>
      <c r="J57" s="366"/>
      <c r="K57" s="219"/>
      <c r="L57" s="320">
        <f>I57</f>
        <v>28.936188357240749</v>
      </c>
      <c r="M57" s="239">
        <f>M12</f>
        <v>24</v>
      </c>
      <c r="N57" s="3"/>
      <c r="O57" s="3"/>
      <c r="P57" s="3"/>
      <c r="Q57" s="3"/>
      <c r="R57" s="3"/>
      <c r="S57" s="3"/>
      <c r="T57" s="3"/>
      <c r="U57" s="75"/>
      <c r="V57" s="39"/>
      <c r="W57" s="1"/>
      <c r="X57" s="1"/>
      <c r="Y57" s="39"/>
      <c r="Z57" s="39"/>
      <c r="AA57" s="39"/>
      <c r="AB57" s="13"/>
      <c r="AC57" s="13"/>
      <c r="AD57" s="13"/>
      <c r="AE57" s="13"/>
      <c r="AF57" s="13"/>
      <c r="AG57" s="13"/>
      <c r="AH57" s="13"/>
      <c r="AI57" s="13"/>
    </row>
    <row r="58" spans="1:35" s="40" customFormat="1" x14ac:dyDescent="0.25">
      <c r="A58" s="1"/>
      <c r="B58" s="64"/>
      <c r="C58" s="124" t="s">
        <v>15</v>
      </c>
      <c r="D58" s="163">
        <f>K13</f>
        <v>1257.4663500000001</v>
      </c>
      <c r="E58" s="167">
        <f>M13</f>
        <v>12</v>
      </c>
      <c r="F58" s="165">
        <f>IF($E$32&lt;=0.5,$H$97,IF($E$32&lt;=2.5,$H$98,$H$99))</f>
        <v>1.349959685094372</v>
      </c>
      <c r="G58" s="206">
        <f t="shared" si="1"/>
        <v>36003.734227815155</v>
      </c>
      <c r="H58" s="168">
        <f t="shared" si="2"/>
        <v>3.53663416252031E-2</v>
      </c>
      <c r="I58" s="366">
        <f t="shared" si="3"/>
        <v>11.362935854737803</v>
      </c>
      <c r="J58" s="366"/>
      <c r="K58" s="219"/>
      <c r="L58" s="238">
        <f>M13</f>
        <v>12</v>
      </c>
      <c r="M58" s="239">
        <f t="shared" ref="M58:M59" si="4">M13</f>
        <v>12</v>
      </c>
      <c r="N58" s="3"/>
      <c r="O58" s="3"/>
      <c r="P58" s="3"/>
      <c r="Q58" s="3"/>
      <c r="R58" s="3"/>
      <c r="S58" s="3"/>
      <c r="T58" s="3"/>
      <c r="U58" s="75"/>
      <c r="V58" s="39"/>
      <c r="W58" s="1"/>
      <c r="X58" s="1"/>
      <c r="Y58" s="39"/>
      <c r="Z58" s="39"/>
      <c r="AA58" s="39"/>
      <c r="AB58" s="13"/>
      <c r="AC58" s="13"/>
      <c r="AD58" s="13"/>
      <c r="AE58" s="13"/>
      <c r="AF58" s="13"/>
      <c r="AG58" s="13"/>
      <c r="AH58" s="13"/>
      <c r="AI58" s="13"/>
    </row>
    <row r="59" spans="1:35" s="40" customFormat="1" x14ac:dyDescent="0.25">
      <c r="A59" s="1"/>
      <c r="B59" s="64"/>
      <c r="C59" s="211" t="s">
        <v>10</v>
      </c>
      <c r="D59" s="170">
        <f>SUM(D53:D58)</f>
        <v>6831.9879880000008</v>
      </c>
      <c r="E59" s="169"/>
      <c r="F59" s="169"/>
      <c r="G59" s="207">
        <f>SUM(G53:G58)</f>
        <v>1018022.5766455253</v>
      </c>
      <c r="H59" s="171">
        <f>SUM(H53:H58)</f>
        <v>1</v>
      </c>
      <c r="I59" s="367">
        <f>SUM(I53:I58)</f>
        <v>321.29237383830048</v>
      </c>
      <c r="J59" s="367"/>
      <c r="K59" s="203"/>
      <c r="L59" s="240">
        <f>M15</f>
        <v>0</v>
      </c>
      <c r="M59" s="241">
        <f t="shared" si="4"/>
        <v>0</v>
      </c>
      <c r="N59" s="3"/>
      <c r="O59" s="3"/>
      <c r="P59" s="3"/>
      <c r="Q59" s="3"/>
      <c r="R59" s="3"/>
      <c r="S59" s="3"/>
      <c r="T59" s="3"/>
      <c r="U59" s="75"/>
      <c r="V59" s="39"/>
      <c r="W59" s="1"/>
      <c r="X59" s="1"/>
      <c r="Y59" s="39"/>
      <c r="Z59" s="39"/>
      <c r="AA59" s="39"/>
      <c r="AB59" s="13"/>
      <c r="AC59" s="13"/>
      <c r="AD59" s="13"/>
      <c r="AE59" s="13"/>
      <c r="AF59" s="13"/>
      <c r="AG59" s="13"/>
      <c r="AH59" s="13"/>
      <c r="AI59" s="13"/>
    </row>
    <row r="60" spans="1:35" s="40" customFormat="1" x14ac:dyDescent="0.25">
      <c r="A60" s="1"/>
      <c r="B60" s="64"/>
      <c r="C60" s="41"/>
      <c r="D60" s="41"/>
      <c r="E60" s="41"/>
      <c r="F60" s="41"/>
      <c r="G60" s="41"/>
      <c r="H60" s="247"/>
      <c r="I60" s="247"/>
      <c r="J60" s="247"/>
      <c r="K60" s="3"/>
      <c r="L60" s="3"/>
      <c r="M60" s="3"/>
      <c r="N60" s="3"/>
      <c r="O60" s="3"/>
      <c r="P60" s="41"/>
      <c r="Q60" s="41"/>
      <c r="R60" s="41"/>
      <c r="S60" s="41"/>
      <c r="T60" s="41"/>
      <c r="U60" s="72"/>
      <c r="V60" s="39"/>
      <c r="W60" s="1"/>
      <c r="X60" s="1"/>
      <c r="Y60" s="39"/>
      <c r="Z60" s="39"/>
      <c r="AA60" s="39"/>
      <c r="AB60" s="13"/>
      <c r="AC60" s="13"/>
      <c r="AD60" s="13"/>
      <c r="AE60" s="13"/>
      <c r="AF60" s="13"/>
      <c r="AG60" s="13"/>
    </row>
    <row r="61" spans="1:35" s="40" customFormat="1" ht="13.5" customHeight="1" x14ac:dyDescent="0.25">
      <c r="A61" s="1"/>
      <c r="B61" s="64"/>
      <c r="C61" s="41"/>
      <c r="D61" s="41"/>
      <c r="E61" s="41"/>
      <c r="F61" s="41"/>
      <c r="G61" s="41"/>
      <c r="H61" s="247"/>
      <c r="I61" s="247"/>
      <c r="J61" s="247"/>
      <c r="K61" s="3"/>
      <c r="L61" s="247"/>
      <c r="M61" s="247"/>
      <c r="N61" s="54"/>
      <c r="O61" s="3"/>
      <c r="P61" s="41"/>
      <c r="Q61" s="41"/>
      <c r="R61" s="41"/>
      <c r="S61" s="41"/>
      <c r="T61" s="41"/>
      <c r="U61" s="72"/>
      <c r="V61" s="39"/>
      <c r="W61" s="1"/>
      <c r="X61" s="1"/>
      <c r="Y61" s="39"/>
      <c r="Z61" s="39"/>
      <c r="AA61" s="39"/>
      <c r="AB61" s="13"/>
      <c r="AC61" s="13"/>
      <c r="AD61" s="13"/>
      <c r="AE61" s="13"/>
      <c r="AF61" s="13"/>
      <c r="AG61" s="13"/>
    </row>
    <row r="62" spans="1:35" s="40" customFormat="1" ht="15.75" thickBot="1" x14ac:dyDescent="0.3">
      <c r="A62" s="39"/>
      <c r="B62" s="73"/>
      <c r="C62" s="69"/>
      <c r="D62" s="69"/>
      <c r="E62" s="69"/>
      <c r="F62" s="69"/>
      <c r="G62" s="248"/>
      <c r="H62" s="248"/>
      <c r="I62" s="24"/>
      <c r="J62" s="69"/>
      <c r="K62" s="248"/>
      <c r="L62" s="248"/>
      <c r="M62" s="76"/>
      <c r="N62" s="24"/>
      <c r="O62" s="69"/>
      <c r="P62" s="69"/>
      <c r="Q62" s="69"/>
      <c r="R62" s="69"/>
      <c r="S62" s="69"/>
      <c r="T62" s="69"/>
      <c r="U62" s="74"/>
      <c r="V62" s="39"/>
      <c r="W62" s="1"/>
      <c r="X62" s="1"/>
      <c r="Y62" s="39"/>
      <c r="Z62" s="39"/>
      <c r="AA62" s="39"/>
      <c r="AB62" s="13"/>
      <c r="AC62" s="13"/>
      <c r="AD62" s="13"/>
      <c r="AE62" s="13"/>
      <c r="AF62" s="13"/>
    </row>
    <row r="63" spans="1:35" s="40" customFormat="1" x14ac:dyDescent="0.25">
      <c r="A63" s="39"/>
      <c r="B63" s="99"/>
      <c r="C63" s="100"/>
      <c r="D63" s="100"/>
      <c r="E63" s="100"/>
      <c r="F63" s="100"/>
      <c r="G63" s="70"/>
      <c r="H63" s="70"/>
      <c r="I63" s="8"/>
      <c r="J63" s="100"/>
      <c r="K63" s="70"/>
      <c r="L63" s="70"/>
      <c r="M63" s="101"/>
      <c r="N63" s="8"/>
      <c r="O63" s="100"/>
      <c r="P63" s="100"/>
      <c r="Q63" s="100"/>
      <c r="R63" s="100"/>
      <c r="S63" s="100"/>
      <c r="T63" s="100"/>
      <c r="U63" s="102"/>
      <c r="V63" s="39"/>
      <c r="W63" s="1"/>
      <c r="X63" s="1"/>
      <c r="Y63" s="39"/>
      <c r="Z63" s="39"/>
      <c r="AA63" s="39"/>
      <c r="AB63" s="13"/>
      <c r="AC63" s="13"/>
      <c r="AD63" s="13"/>
      <c r="AE63" s="13"/>
      <c r="AF63" s="13"/>
    </row>
    <row r="64" spans="1:35" s="40" customFormat="1" x14ac:dyDescent="0.25">
      <c r="A64" s="39"/>
      <c r="B64" s="64"/>
      <c r="C64" s="382" t="s">
        <v>459</v>
      </c>
      <c r="D64" s="382"/>
      <c r="E64" s="382"/>
      <c r="F64" s="382"/>
      <c r="G64" s="382"/>
      <c r="H64" s="382"/>
      <c r="I64" s="3"/>
      <c r="J64" s="41"/>
      <c r="K64" s="247"/>
      <c r="L64" s="247"/>
      <c r="M64" s="54"/>
      <c r="N64" s="3"/>
      <c r="O64" s="41"/>
      <c r="P64" s="41"/>
      <c r="Q64" s="41"/>
      <c r="R64" s="41"/>
      <c r="S64" s="41"/>
      <c r="T64" s="41"/>
      <c r="U64" s="72"/>
      <c r="V64" s="39"/>
      <c r="W64" s="1"/>
      <c r="X64" s="1"/>
      <c r="Y64" s="39"/>
      <c r="Z64" s="39"/>
      <c r="AA64" s="39"/>
      <c r="AB64" s="13"/>
      <c r="AC64" s="13"/>
      <c r="AD64" s="13"/>
      <c r="AE64" s="13"/>
      <c r="AF64" s="13"/>
    </row>
    <row r="65" spans="1:33" s="40" customFormat="1" x14ac:dyDescent="0.25">
      <c r="A65" s="39"/>
      <c r="B65" s="64"/>
      <c r="C65" s="382"/>
      <c r="D65" s="382"/>
      <c r="E65" s="382"/>
      <c r="F65" s="382"/>
      <c r="G65" s="382"/>
      <c r="H65" s="382"/>
      <c r="I65" s="3"/>
      <c r="J65" s="41"/>
      <c r="K65" s="247"/>
      <c r="L65" s="247"/>
      <c r="M65" s="54"/>
      <c r="N65" s="3"/>
      <c r="O65" s="41"/>
      <c r="P65" s="41"/>
      <c r="Q65" s="41"/>
      <c r="R65" s="41"/>
      <c r="S65" s="41"/>
      <c r="T65" s="41"/>
      <c r="U65" s="72"/>
      <c r="V65" s="39"/>
      <c r="W65" s="1"/>
      <c r="X65" s="1"/>
      <c r="Y65" s="39"/>
      <c r="Z65" s="39"/>
      <c r="AA65" s="39"/>
      <c r="AB65" s="13"/>
      <c r="AC65" s="13"/>
      <c r="AD65" s="13"/>
      <c r="AE65" s="13"/>
      <c r="AF65" s="13"/>
    </row>
    <row r="66" spans="1:33" s="40" customFormat="1" ht="15.75" thickBot="1" x14ac:dyDescent="0.3">
      <c r="A66" s="39"/>
      <c r="B66" s="64"/>
      <c r="C66" s="41"/>
      <c r="D66" s="41"/>
      <c r="E66" s="41"/>
      <c r="F66" s="41"/>
      <c r="G66" s="247"/>
      <c r="H66" s="247"/>
      <c r="I66" s="3"/>
      <c r="J66" s="41"/>
      <c r="K66" s="247"/>
      <c r="L66" s="247"/>
      <c r="M66" s="54"/>
      <c r="N66" s="3"/>
      <c r="O66" s="41"/>
      <c r="P66" s="41"/>
      <c r="Q66" s="41"/>
      <c r="R66" s="41"/>
      <c r="S66" s="41"/>
      <c r="T66" s="41"/>
      <c r="U66" s="72"/>
      <c r="V66" s="39"/>
      <c r="W66" s="1"/>
      <c r="X66" s="1"/>
      <c r="Y66" s="39"/>
      <c r="Z66" s="39"/>
      <c r="AA66" s="39"/>
      <c r="AB66" s="13"/>
      <c r="AC66" s="13"/>
      <c r="AD66" s="13"/>
      <c r="AE66" s="13"/>
      <c r="AF66" s="13"/>
    </row>
    <row r="67" spans="1:33" s="40" customFormat="1" ht="15.75" thickBot="1" x14ac:dyDescent="0.3">
      <c r="A67" s="39"/>
      <c r="B67" s="64"/>
      <c r="C67" s="377" t="s">
        <v>456</v>
      </c>
      <c r="D67" s="378"/>
      <c r="E67" s="378"/>
      <c r="F67" s="935">
        <v>0.02</v>
      </c>
      <c r="G67" s="379" t="s">
        <v>78</v>
      </c>
      <c r="H67" s="119"/>
      <c r="I67" s="3"/>
      <c r="J67" s="3"/>
      <c r="K67" s="3"/>
      <c r="L67" s="3"/>
      <c r="M67" s="3"/>
      <c r="N67" s="3"/>
      <c r="O67" s="41"/>
      <c r="P67" s="41"/>
      <c r="Q67" s="41"/>
      <c r="R67" s="41"/>
      <c r="S67" s="41"/>
      <c r="T67" s="41"/>
      <c r="U67" s="72"/>
      <c r="V67" s="39"/>
      <c r="W67" s="1"/>
      <c r="X67" s="1"/>
      <c r="Y67" s="39"/>
      <c r="Z67" s="39"/>
      <c r="AA67" s="39"/>
      <c r="AB67" s="13"/>
      <c r="AC67" s="13"/>
      <c r="AD67" s="13"/>
      <c r="AE67" s="13"/>
      <c r="AF67" s="13"/>
    </row>
    <row r="68" spans="1:33" s="40" customFormat="1" x14ac:dyDescent="0.25">
      <c r="A68" s="39"/>
      <c r="B68" s="6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1"/>
      <c r="P68" s="41"/>
      <c r="Q68" s="41"/>
      <c r="R68" s="41"/>
      <c r="S68" s="41"/>
      <c r="T68" s="41"/>
      <c r="U68" s="72"/>
      <c r="V68" s="39"/>
      <c r="W68" s="1"/>
      <c r="X68" s="1"/>
      <c r="Y68" s="39"/>
      <c r="Z68" s="39"/>
      <c r="AA68" s="39"/>
      <c r="AB68" s="13"/>
      <c r="AC68" s="13"/>
      <c r="AD68" s="13"/>
      <c r="AE68" s="13"/>
      <c r="AF68" s="13"/>
    </row>
    <row r="69" spans="1:33" s="40" customFormat="1" ht="15.75" thickBot="1" x14ac:dyDescent="0.3">
      <c r="A69" s="39"/>
      <c r="B69" s="64"/>
      <c r="C69" s="41"/>
      <c r="D69" s="41"/>
      <c r="E69" s="41"/>
      <c r="F69" s="41"/>
      <c r="G69" s="247"/>
      <c r="H69" s="247"/>
      <c r="I69" s="3"/>
      <c r="J69" s="41"/>
      <c r="K69" s="247"/>
      <c r="L69" s="247"/>
      <c r="M69" s="54"/>
      <c r="N69" s="3"/>
      <c r="O69" s="41"/>
      <c r="P69" s="41"/>
      <c r="Q69" s="41"/>
      <c r="R69" s="41"/>
      <c r="S69" s="41"/>
      <c r="T69" s="41"/>
      <c r="U69" s="72"/>
      <c r="V69" s="39"/>
      <c r="W69" s="1"/>
      <c r="X69" s="1"/>
      <c r="Y69" s="39"/>
      <c r="Z69" s="39"/>
      <c r="AA69" s="39"/>
      <c r="AB69" s="13"/>
      <c r="AC69" s="13"/>
      <c r="AD69" s="13"/>
      <c r="AE69" s="13"/>
      <c r="AF69" s="13"/>
    </row>
    <row r="70" spans="1:33" s="40" customFormat="1" ht="15.75" customHeight="1" x14ac:dyDescent="0.25">
      <c r="A70" s="39"/>
      <c r="B70" s="64"/>
      <c r="C70" s="274" t="s">
        <v>70</v>
      </c>
      <c r="D70" s="275"/>
      <c r="E70" s="275"/>
      <c r="F70" s="276"/>
      <c r="G70" s="247"/>
      <c r="H70" s="247"/>
      <c r="I70" s="41"/>
      <c r="J70" s="158"/>
      <c r="K70" s="158"/>
      <c r="L70" s="158"/>
      <c r="M70" s="158"/>
      <c r="N70" s="158"/>
      <c r="O70" s="41"/>
      <c r="P70" s="41"/>
      <c r="Q70" s="41"/>
      <c r="R70" s="41"/>
      <c r="S70" s="41"/>
      <c r="T70" s="41"/>
      <c r="U70" s="72"/>
      <c r="V70" s="39"/>
      <c r="W70" s="1"/>
      <c r="X70" s="1"/>
      <c r="Y70" s="39"/>
      <c r="Z70" s="39"/>
      <c r="AA70" s="39"/>
      <c r="AB70" s="13"/>
      <c r="AC70" s="13"/>
      <c r="AD70" s="13"/>
      <c r="AE70" s="13"/>
      <c r="AF70" s="13"/>
      <c r="AG70" s="13"/>
    </row>
    <row r="71" spans="1:33" s="40" customFormat="1" ht="14.25" customHeight="1" x14ac:dyDescent="0.25">
      <c r="A71" s="39"/>
      <c r="B71" s="64"/>
      <c r="C71" s="262" t="s">
        <v>25</v>
      </c>
      <c r="D71" s="263"/>
      <c r="E71" s="263"/>
      <c r="F71" s="264"/>
      <c r="G71" s="247"/>
      <c r="H71" s="211"/>
      <c r="I71" s="250" t="s">
        <v>27</v>
      </c>
      <c r="J71" s="250"/>
      <c r="K71" s="250"/>
      <c r="L71" s="250"/>
      <c r="M71" s="250"/>
      <c r="N71" s="250"/>
      <c r="O71" s="3"/>
      <c r="P71" s="391" t="s">
        <v>460</v>
      </c>
      <c r="Q71" s="391"/>
      <c r="R71" s="391"/>
      <c r="S71" s="391"/>
      <c r="T71" s="41"/>
      <c r="U71" s="72"/>
      <c r="V71" s="39"/>
      <c r="W71" s="1"/>
      <c r="X71" s="1"/>
      <c r="Y71" s="39"/>
      <c r="Z71" s="39"/>
      <c r="AA71" s="39"/>
      <c r="AB71" s="13"/>
      <c r="AC71" s="13"/>
      <c r="AD71" s="13"/>
      <c r="AE71" s="13"/>
      <c r="AF71" s="13"/>
      <c r="AG71" s="13"/>
    </row>
    <row r="72" spans="1:33" s="40" customFormat="1" ht="14.25" customHeight="1" x14ac:dyDescent="0.25">
      <c r="A72" s="39"/>
      <c r="B72" s="64"/>
      <c r="C72" s="259" t="s">
        <v>23</v>
      </c>
      <c r="D72" s="260"/>
      <c r="E72" s="261" t="s">
        <v>24</v>
      </c>
      <c r="F72" s="266"/>
      <c r="G72" s="247"/>
      <c r="H72" s="251" t="s">
        <v>22</v>
      </c>
      <c r="I72" s="250" t="s">
        <v>12</v>
      </c>
      <c r="J72" s="250"/>
      <c r="K72" s="178"/>
      <c r="L72" s="250" t="s">
        <v>13</v>
      </c>
      <c r="M72" s="250"/>
      <c r="N72" s="178"/>
      <c r="O72" s="3"/>
      <c r="P72" s="292"/>
      <c r="Q72" s="292"/>
      <c r="R72" s="292"/>
      <c r="S72" s="292"/>
      <c r="T72" s="41"/>
      <c r="U72" s="72"/>
      <c r="V72" s="39"/>
      <c r="W72" s="1"/>
      <c r="X72" s="1"/>
      <c r="Y72" s="39"/>
      <c r="Z72" s="39"/>
      <c r="AA72" s="39"/>
      <c r="AB72" s="13"/>
      <c r="AC72" s="13"/>
      <c r="AD72" s="13"/>
      <c r="AE72" s="13"/>
      <c r="AF72" s="13"/>
      <c r="AG72" s="13"/>
    </row>
    <row r="73" spans="1:33" s="40" customFormat="1" ht="14.25" customHeight="1" thickBot="1" x14ac:dyDescent="0.3">
      <c r="A73" s="39"/>
      <c r="B73" s="64"/>
      <c r="C73" s="236" t="s">
        <v>12</v>
      </c>
      <c r="D73" s="237" t="s">
        <v>13</v>
      </c>
      <c r="E73" s="65" t="s">
        <v>12</v>
      </c>
      <c r="F73" s="249" t="s">
        <v>13</v>
      </c>
      <c r="G73" s="247"/>
      <c r="H73" s="252"/>
      <c r="I73" s="223" t="s">
        <v>21</v>
      </c>
      <c r="J73" s="223" t="s">
        <v>26</v>
      </c>
      <c r="K73" s="177"/>
      <c r="L73" s="223" t="s">
        <v>21</v>
      </c>
      <c r="M73" s="223" t="s">
        <v>26</v>
      </c>
      <c r="N73" s="177"/>
      <c r="O73" s="3"/>
      <c r="P73" s="426" t="s">
        <v>28</v>
      </c>
      <c r="Q73" s="426"/>
      <c r="R73" s="426" t="s">
        <v>29</v>
      </c>
      <c r="S73" s="426"/>
      <c r="T73" s="41"/>
      <c r="U73" s="72"/>
      <c r="V73" s="39"/>
      <c r="W73" s="1"/>
      <c r="X73" s="1"/>
      <c r="Y73" s="39"/>
      <c r="Z73" s="39"/>
      <c r="AA73" s="39"/>
      <c r="AB73" s="13"/>
      <c r="AC73" s="13"/>
      <c r="AD73" s="13"/>
      <c r="AE73" s="13"/>
      <c r="AF73" s="13"/>
      <c r="AG73" s="13"/>
    </row>
    <row r="74" spans="1:33" s="40" customFormat="1" ht="14.25" customHeight="1" x14ac:dyDescent="0.25">
      <c r="A74" s="39"/>
      <c r="B74" s="64"/>
      <c r="C74" s="936">
        <v>8.2330000000000007E-3</v>
      </c>
      <c r="D74" s="937">
        <v>1.9000000000000001E-5</v>
      </c>
      <c r="E74" s="938">
        <v>0</v>
      </c>
      <c r="F74" s="939">
        <v>3.8920000000000001E-3</v>
      </c>
      <c r="G74" s="247"/>
      <c r="H74" s="147" t="s">
        <v>14</v>
      </c>
      <c r="I74" s="176">
        <f>(C74^2+E74^2)^0.5</f>
        <v>8.2330000000000007E-3</v>
      </c>
      <c r="J74" s="373">
        <f>I74*0.75*$F$6*100</f>
        <v>4.9398000000000009</v>
      </c>
      <c r="K74" s="499" t="str">
        <f>IF(J74&lt;=$F$67*100," Ok","No Cumple")</f>
        <v>No Cumple</v>
      </c>
      <c r="L74" s="176">
        <f>(D74^2+F74^2)^0.5</f>
        <v>3.8920463769076545E-3</v>
      </c>
      <c r="M74" s="373">
        <f t="shared" ref="M74:M79" si="5">L74*0.75*$F$6*100</f>
        <v>2.3352278261445929</v>
      </c>
      <c r="N74" s="499" t="str">
        <f>IF(M74&lt;=$F$67*100," Ok","No Cumple")</f>
        <v>No Cumple</v>
      </c>
      <c r="O74" s="3"/>
      <c r="P74" s="424">
        <f t="shared" ref="P74:P79" si="6">J74</f>
        <v>4.9398000000000009</v>
      </c>
      <c r="Q74" s="500"/>
      <c r="R74" s="425">
        <f t="shared" ref="R74:R79" si="7">M74</f>
        <v>2.3352278261445929</v>
      </c>
      <c r="S74" s="500"/>
      <c r="T74" s="41"/>
      <c r="U74" s="72"/>
      <c r="V74" s="39"/>
      <c r="W74" s="1"/>
      <c r="X74" s="1"/>
      <c r="Y74" s="39"/>
      <c r="Z74" s="39"/>
      <c r="AA74" s="39"/>
      <c r="AB74" s="13"/>
      <c r="AC74" s="13"/>
      <c r="AD74" s="13"/>
      <c r="AE74" s="13"/>
      <c r="AF74" s="13"/>
      <c r="AG74" s="13"/>
    </row>
    <row r="75" spans="1:33" s="40" customFormat="1" ht="14.25" customHeight="1" x14ac:dyDescent="0.25">
      <c r="A75" s="39"/>
      <c r="B75" s="64"/>
      <c r="C75" s="940">
        <v>1.189E-2</v>
      </c>
      <c r="D75" s="941">
        <v>2.8E-5</v>
      </c>
      <c r="E75" s="942">
        <v>0</v>
      </c>
      <c r="F75" s="943">
        <v>4.777E-3</v>
      </c>
      <c r="G75" s="247"/>
      <c r="H75" s="230" t="s">
        <v>17</v>
      </c>
      <c r="I75" s="174">
        <f>(C75^2+E75^2)^0.5</f>
        <v>1.189E-2</v>
      </c>
      <c r="J75" s="374">
        <f t="shared" ref="J75:J79" si="8">I75*0.75*$F$6*100</f>
        <v>7.1340000000000003</v>
      </c>
      <c r="K75" s="501" t="str">
        <f t="shared" ref="K75:K79" si="9">IF(J75&lt;=$F$67*100," Ok","No Cumple")</f>
        <v>No Cumple</v>
      </c>
      <c r="L75" s="174">
        <f>(D75^2+F75^2)^0.5</f>
        <v>4.7770820591654063E-3</v>
      </c>
      <c r="M75" s="374">
        <f t="shared" si="5"/>
        <v>2.8662492354992435</v>
      </c>
      <c r="N75" s="501" t="str">
        <f t="shared" ref="N75:N79" si="10">IF(M75&lt;=$F$67*100," Ok","No Cumple")</f>
        <v>No Cumple</v>
      </c>
      <c r="O75" s="3"/>
      <c r="P75" s="424">
        <f t="shared" si="6"/>
        <v>7.1340000000000003</v>
      </c>
      <c r="Q75" s="500"/>
      <c r="R75" s="425">
        <f t="shared" si="7"/>
        <v>2.8662492354992435</v>
      </c>
      <c r="S75" s="500"/>
      <c r="T75" s="41"/>
      <c r="U75" s="72"/>
      <c r="V75" s="39"/>
      <c r="W75" s="1"/>
      <c r="X75" s="1"/>
      <c r="Y75" s="39"/>
      <c r="Z75" s="39"/>
      <c r="AA75" s="39"/>
      <c r="AB75" s="13"/>
      <c r="AC75" s="13"/>
      <c r="AD75" s="13"/>
      <c r="AE75" s="13"/>
      <c r="AF75" s="13"/>
      <c r="AG75" s="13"/>
    </row>
    <row r="76" spans="1:33" s="40" customFormat="1" ht="14.25" customHeight="1" x14ac:dyDescent="0.25">
      <c r="A76" s="39"/>
      <c r="B76" s="64"/>
      <c r="C76" s="940">
        <v>1.397E-2</v>
      </c>
      <c r="D76" s="941">
        <v>3.6999999999999998E-5</v>
      </c>
      <c r="E76" s="942">
        <v>0</v>
      </c>
      <c r="F76" s="943">
        <v>5.986E-3</v>
      </c>
      <c r="G76" s="247"/>
      <c r="H76" s="230" t="s">
        <v>18</v>
      </c>
      <c r="I76" s="174">
        <f>(C76^2+E76^2)^0.5</f>
        <v>1.397E-2</v>
      </c>
      <c r="J76" s="374">
        <f t="shared" si="8"/>
        <v>8.3820000000000014</v>
      </c>
      <c r="K76" s="501" t="str">
        <f t="shared" si="9"/>
        <v>No Cumple</v>
      </c>
      <c r="L76" s="174">
        <f>(D76^2+F76^2)^0.5</f>
        <v>5.9861143490581598E-3</v>
      </c>
      <c r="M76" s="374">
        <f t="shared" si="5"/>
        <v>3.5916686094348962</v>
      </c>
      <c r="N76" s="501" t="str">
        <f t="shared" si="10"/>
        <v>No Cumple</v>
      </c>
      <c r="O76" s="3"/>
      <c r="P76" s="424">
        <f>J76</f>
        <v>8.3820000000000014</v>
      </c>
      <c r="Q76" s="500" t="str">
        <f>IF(P76&lt;1.3*P75,"CUMPLE","NO CUMPLE")</f>
        <v>CUMPLE</v>
      </c>
      <c r="R76" s="425">
        <f t="shared" si="7"/>
        <v>3.5916686094348962</v>
      </c>
      <c r="S76" s="500" t="str">
        <f>IF(R76&lt;1.3*R75,"CUMPLE","NO CUMPLE")</f>
        <v>CUMPLE</v>
      </c>
      <c r="T76" s="41"/>
      <c r="U76" s="72"/>
      <c r="V76" s="39"/>
      <c r="W76" s="1"/>
      <c r="X76" s="1"/>
      <c r="Y76" s="39"/>
      <c r="Z76" s="39"/>
      <c r="AA76" s="39"/>
      <c r="AB76" s="13"/>
      <c r="AC76" s="13"/>
      <c r="AD76" s="13"/>
      <c r="AE76" s="13"/>
      <c r="AF76" s="13"/>
      <c r="AG76" s="13"/>
    </row>
    <row r="77" spans="1:33" s="40" customFormat="1" ht="14.25" customHeight="1" x14ac:dyDescent="0.25">
      <c r="A77" s="39"/>
      <c r="B77" s="64"/>
      <c r="C77" s="940">
        <v>1.3658E-2</v>
      </c>
      <c r="D77" s="941">
        <v>3.8999999999999999E-5</v>
      </c>
      <c r="E77" s="942">
        <v>0</v>
      </c>
      <c r="F77" s="943">
        <v>6.2519999999999997E-3</v>
      </c>
      <c r="G77" s="247"/>
      <c r="H77" s="230" t="s">
        <v>19</v>
      </c>
      <c r="I77" s="174">
        <f>(C77^2+E77^2)^0.5</f>
        <v>1.3658E-2</v>
      </c>
      <c r="J77" s="374">
        <f t="shared" si="8"/>
        <v>8.194799999999999</v>
      </c>
      <c r="K77" s="501" t="str">
        <f t="shared" si="9"/>
        <v>No Cumple</v>
      </c>
      <c r="L77" s="174">
        <f>(D77^2+F77^2)^0.5</f>
        <v>6.2521216398915332E-3</v>
      </c>
      <c r="M77" s="374">
        <f t="shared" si="5"/>
        <v>3.7512729839349195</v>
      </c>
      <c r="N77" s="501" t="str">
        <f t="shared" si="10"/>
        <v>No Cumple</v>
      </c>
      <c r="O77" s="3"/>
      <c r="P77" s="424">
        <f t="shared" si="6"/>
        <v>8.194799999999999</v>
      </c>
      <c r="Q77" s="500" t="str">
        <f>IF(P77&lt;1.3*P76,"CUMPLE","NO CUMPLE")</f>
        <v>CUMPLE</v>
      </c>
      <c r="R77" s="425">
        <f t="shared" si="7"/>
        <v>3.7512729839349195</v>
      </c>
      <c r="S77" s="500" t="str">
        <f>IF(R77&lt;1.3*R76,"CUMPLE","NO CUMPLE")</f>
        <v>CUMPLE</v>
      </c>
      <c r="T77" s="41"/>
      <c r="U77" s="72"/>
      <c r="V77" s="39"/>
      <c r="W77" s="1"/>
      <c r="X77" s="1"/>
      <c r="Y77" s="39"/>
      <c r="Z77" s="39"/>
      <c r="AA77" s="39"/>
      <c r="AB77" s="13"/>
      <c r="AC77" s="13"/>
      <c r="AD77" s="13"/>
      <c r="AE77" s="13"/>
      <c r="AF77" s="13"/>
      <c r="AG77" s="13"/>
    </row>
    <row r="78" spans="1:33" s="40" customFormat="1" ht="14.25" customHeight="1" x14ac:dyDescent="0.25">
      <c r="A78" s="39"/>
      <c r="B78" s="64"/>
      <c r="C78" s="940">
        <v>1.1839000000000001E-2</v>
      </c>
      <c r="D78" s="941">
        <v>3.6999999999999998E-5</v>
      </c>
      <c r="E78" s="942">
        <v>0</v>
      </c>
      <c r="F78" s="943">
        <v>5.849E-3</v>
      </c>
      <c r="G78" s="247"/>
      <c r="H78" s="230" t="s">
        <v>16</v>
      </c>
      <c r="I78" s="174">
        <f>(C78^2+E78^2)^0.5</f>
        <v>1.1839000000000001E-2</v>
      </c>
      <c r="J78" s="374">
        <f t="shared" si="8"/>
        <v>7.1033999999999997</v>
      </c>
      <c r="K78" s="501" t="str">
        <f t="shared" si="9"/>
        <v>No Cumple</v>
      </c>
      <c r="L78" s="174">
        <f>(D78^2+F78^2)^0.5</f>
        <v>5.8491170273811408E-3</v>
      </c>
      <c r="M78" s="374">
        <f t="shared" si="5"/>
        <v>3.5094702164286846</v>
      </c>
      <c r="N78" s="501" t="str">
        <f t="shared" si="10"/>
        <v>No Cumple</v>
      </c>
      <c r="O78" s="3"/>
      <c r="P78" s="424">
        <f t="shared" si="6"/>
        <v>7.1033999999999997</v>
      </c>
      <c r="Q78" s="500" t="str">
        <f>IF(P78&lt;1.3*P77,"CUMPLE","NO CUMPLE")</f>
        <v>CUMPLE</v>
      </c>
      <c r="R78" s="425">
        <f t="shared" si="7"/>
        <v>3.5094702164286846</v>
      </c>
      <c r="S78" s="500" t="str">
        <f>IF(R78&lt;1.3*R77,"CUMPLE","NO CUMPLE")</f>
        <v>CUMPLE</v>
      </c>
      <c r="T78" s="41"/>
      <c r="U78" s="72"/>
      <c r="V78" s="39"/>
      <c r="W78" s="1"/>
      <c r="X78" s="1"/>
      <c r="Y78" s="39"/>
      <c r="Z78" s="39"/>
      <c r="AA78" s="39"/>
      <c r="AB78" s="13"/>
      <c r="AC78" s="13"/>
      <c r="AD78" s="13"/>
      <c r="AE78" s="13"/>
      <c r="AF78" s="13"/>
      <c r="AG78" s="13"/>
    </row>
    <row r="79" spans="1:33" s="40" customFormat="1" ht="14.25" customHeight="1" thickBot="1" x14ac:dyDescent="0.3">
      <c r="A79" s="39"/>
      <c r="B79" s="64"/>
      <c r="C79" s="944">
        <v>5.927E-3</v>
      </c>
      <c r="D79" s="945">
        <v>2.0000000000000002E-5</v>
      </c>
      <c r="E79" s="946">
        <v>0</v>
      </c>
      <c r="F79" s="947">
        <v>3.3279999999999998E-3</v>
      </c>
      <c r="G79" s="247"/>
      <c r="H79" s="231" t="s">
        <v>15</v>
      </c>
      <c r="I79" s="175">
        <f>(C79^2+E79^2)^0.5</f>
        <v>5.927E-3</v>
      </c>
      <c r="J79" s="375">
        <f t="shared" si="8"/>
        <v>3.5561999999999996</v>
      </c>
      <c r="K79" s="502" t="str">
        <f t="shared" si="9"/>
        <v>No Cumple</v>
      </c>
      <c r="L79" s="175">
        <f>(D79^2+F79^2)^0.5</f>
        <v>3.3280600956112553E-3</v>
      </c>
      <c r="M79" s="375">
        <f t="shared" si="5"/>
        <v>1.9968360573667532</v>
      </c>
      <c r="N79" s="502" t="str">
        <f t="shared" si="10"/>
        <v xml:space="preserve"> Ok</v>
      </c>
      <c r="O79" s="3"/>
      <c r="P79" s="424">
        <f t="shared" si="6"/>
        <v>3.5561999999999996</v>
      </c>
      <c r="Q79" s="500" t="str">
        <f>IF(P79&lt;1.3*P78,"CUMPLE","NO CUMPLE")</f>
        <v>CUMPLE</v>
      </c>
      <c r="R79" s="425">
        <f t="shared" si="7"/>
        <v>1.9968360573667532</v>
      </c>
      <c r="S79" s="500" t="str">
        <f>IF(R79&lt;1.3*R78,"CUMPLE","NO CUMPLE")</f>
        <v>CUMPLE</v>
      </c>
      <c r="T79" s="41"/>
      <c r="U79" s="72"/>
      <c r="V79" s="39"/>
      <c r="W79" s="1"/>
      <c r="X79" s="1"/>
      <c r="Y79" s="39"/>
      <c r="Z79" s="39"/>
      <c r="AA79" s="39"/>
      <c r="AB79" s="13"/>
      <c r="AC79" s="13"/>
      <c r="AD79" s="13"/>
      <c r="AE79" s="13"/>
      <c r="AF79" s="13"/>
      <c r="AG79" s="13"/>
    </row>
    <row r="80" spans="1:33" s="40" customFormat="1" ht="14.25" customHeight="1" x14ac:dyDescent="0.25">
      <c r="A80" s="39"/>
      <c r="B80" s="64"/>
      <c r="C80" s="41"/>
      <c r="D80" s="41"/>
      <c r="E80" s="41"/>
      <c r="F80" s="41"/>
      <c r="G80" s="247"/>
      <c r="H80" s="247"/>
      <c r="I80" s="3"/>
      <c r="J80" s="41"/>
      <c r="K80" s="247"/>
      <c r="L80" s="247"/>
      <c r="M80" s="54"/>
      <c r="N80" s="3"/>
      <c r="O80" s="41"/>
      <c r="P80" s="427"/>
      <c r="Q80" s="427"/>
      <c r="R80" s="427"/>
      <c r="S80" s="427"/>
      <c r="T80" s="41"/>
      <c r="U80" s="72"/>
      <c r="V80" s="39"/>
      <c r="W80" s="1"/>
      <c r="X80" s="1"/>
      <c r="Y80" s="39"/>
      <c r="Z80" s="39"/>
      <c r="AA80" s="39"/>
      <c r="AB80" s="13"/>
      <c r="AC80" s="13"/>
      <c r="AD80" s="13"/>
      <c r="AE80" s="13"/>
      <c r="AF80" s="13"/>
    </row>
    <row r="81" spans="1:32" s="40" customFormat="1" ht="15.75" thickBot="1" x14ac:dyDescent="0.3">
      <c r="A81" s="39"/>
      <c r="B81" s="73"/>
      <c r="C81" s="69"/>
      <c r="D81" s="69"/>
      <c r="E81" s="69"/>
      <c r="F81" s="69"/>
      <c r="G81" s="248"/>
      <c r="H81" s="248"/>
      <c r="I81" s="24"/>
      <c r="J81" s="69"/>
      <c r="K81" s="248"/>
      <c r="L81" s="248"/>
      <c r="M81" s="76"/>
      <c r="N81" s="24"/>
      <c r="O81" s="69"/>
      <c r="P81" s="69"/>
      <c r="Q81" s="69"/>
      <c r="R81" s="69"/>
      <c r="S81" s="69"/>
      <c r="T81" s="69"/>
      <c r="U81" s="74"/>
      <c r="V81" s="39"/>
      <c r="W81" s="1"/>
      <c r="X81" s="1"/>
      <c r="Y81" s="39"/>
      <c r="Z81" s="39"/>
      <c r="AA81" s="39"/>
      <c r="AB81" s="13"/>
      <c r="AC81" s="13"/>
      <c r="AD81" s="13"/>
      <c r="AE81" s="13"/>
      <c r="AF81" s="13"/>
    </row>
    <row r="82" spans="1:32" s="40" customFormat="1" x14ac:dyDescent="0.25">
      <c r="A82" s="39"/>
      <c r="B82" s="39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39"/>
      <c r="N82" s="39"/>
      <c r="O82" s="39"/>
      <c r="P82" s="1"/>
      <c r="Q82" s="1"/>
      <c r="R82" s="1"/>
      <c r="S82" s="1"/>
      <c r="T82" s="1"/>
      <c r="U82" s="1"/>
      <c r="V82" s="1"/>
      <c r="W82" s="1"/>
      <c r="X82" s="1"/>
      <c r="Y82" s="1"/>
      <c r="Z82" s="39"/>
      <c r="AA82" s="39"/>
    </row>
    <row r="83" spans="1:3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32" x14ac:dyDescent="0.25">
      <c r="A84" s="1"/>
      <c r="B84" s="1"/>
      <c r="C84" s="1"/>
      <c r="D84" s="3"/>
      <c r="E84" s="3"/>
      <c r="F84" s="3"/>
      <c r="G84" s="3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32" x14ac:dyDescent="0.25">
      <c r="A85" s="1"/>
      <c r="B85" s="1"/>
      <c r="C85" s="1"/>
      <c r="D85" s="1"/>
      <c r="E85" s="1"/>
      <c r="F85" s="1"/>
      <c r="G85" s="3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32" ht="15.75" thickBot="1" x14ac:dyDescent="0.3">
      <c r="A86" s="1"/>
      <c r="B86" s="1"/>
      <c r="C86" s="1"/>
      <c r="D86" s="1"/>
      <c r="E86" s="1"/>
      <c r="F86" s="1"/>
      <c r="G86" s="3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32" ht="21" customHeight="1" x14ac:dyDescent="0.25">
      <c r="A87" s="1"/>
      <c r="B87" s="402" t="s">
        <v>461</v>
      </c>
      <c r="C87" s="403"/>
      <c r="D87" s="403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  <c r="V87" s="1"/>
      <c r="W87" s="1"/>
      <c r="X87" s="1"/>
      <c r="Y87" s="1"/>
      <c r="Z87" s="1"/>
      <c r="AA87" s="1"/>
    </row>
    <row r="88" spans="1:32" x14ac:dyDescent="0.25">
      <c r="A88" s="1"/>
      <c r="B88" s="404"/>
      <c r="C88" s="405"/>
      <c r="D88" s="405"/>
      <c r="E88" s="3"/>
      <c r="F88" s="122"/>
      <c r="G88" s="122"/>
      <c r="H88" s="122"/>
      <c r="I88" s="12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11"/>
      <c r="V88" s="1"/>
      <c r="W88" s="1"/>
      <c r="X88" s="1"/>
      <c r="Y88" s="1"/>
      <c r="Z88" s="1"/>
      <c r="AA88" s="1"/>
    </row>
    <row r="89" spans="1:32" ht="21" customHeight="1" x14ac:dyDescent="0.25">
      <c r="A89" s="1"/>
      <c r="B89" s="404"/>
      <c r="C89" s="405"/>
      <c r="D89" s="405"/>
      <c r="E89" s="3"/>
      <c r="F89" s="267" t="s">
        <v>44</v>
      </c>
      <c r="G89" s="267"/>
      <c r="H89" s="267"/>
      <c r="I89" s="267"/>
      <c r="J89" s="3"/>
      <c r="K89" s="267" t="s">
        <v>45</v>
      </c>
      <c r="L89" s="267"/>
      <c r="M89" s="267"/>
      <c r="N89" s="267"/>
      <c r="O89" s="3"/>
      <c r="P89" s="391" t="s">
        <v>73</v>
      </c>
      <c r="Q89" s="391"/>
      <c r="R89" s="391"/>
      <c r="S89" s="3"/>
      <c r="T89" s="3"/>
      <c r="U89" s="11"/>
      <c r="V89" s="1"/>
      <c r="W89" s="1"/>
      <c r="X89" s="1"/>
      <c r="Y89" s="1"/>
      <c r="Z89" s="1"/>
      <c r="AA89" s="1"/>
    </row>
    <row r="90" spans="1:32" ht="15" customHeight="1" x14ac:dyDescent="0.25">
      <c r="A90" s="1"/>
      <c r="B90" s="404"/>
      <c r="C90" s="405"/>
      <c r="D90" s="405"/>
      <c r="E90" s="3"/>
      <c r="F90" s="267" t="s">
        <v>42</v>
      </c>
      <c r="G90" s="267"/>
      <c r="H90" s="267"/>
      <c r="I90" s="225" t="s">
        <v>43</v>
      </c>
      <c r="J90" s="3"/>
      <c r="K90" s="41" t="s">
        <v>48</v>
      </c>
      <c r="L90" s="41"/>
      <c r="M90" s="247" t="s">
        <v>4</v>
      </c>
      <c r="N90" s="385" t="s">
        <v>5</v>
      </c>
      <c r="O90" s="3"/>
      <c r="P90" s="314"/>
      <c r="Q90" s="314"/>
      <c r="R90" s="314"/>
      <c r="S90" s="3"/>
      <c r="T90" s="3"/>
      <c r="U90" s="11"/>
      <c r="V90" s="1"/>
      <c r="W90" s="1"/>
      <c r="X90" s="1"/>
      <c r="Y90" s="1"/>
      <c r="Z90" s="1"/>
      <c r="AA90" s="1"/>
    </row>
    <row r="91" spans="1:32" ht="15" customHeight="1" x14ac:dyDescent="0.25">
      <c r="A91" s="1"/>
      <c r="B91" s="404"/>
      <c r="C91" s="405"/>
      <c r="D91" s="405"/>
      <c r="E91" s="3"/>
      <c r="F91" s="41" t="s">
        <v>60</v>
      </c>
      <c r="G91" s="41"/>
      <c r="H91" s="41"/>
      <c r="I91" s="387">
        <v>1.5</v>
      </c>
      <c r="J91" s="3"/>
      <c r="K91" s="3" t="s">
        <v>46</v>
      </c>
      <c r="L91" s="3"/>
      <c r="M91" s="57">
        <v>2.8000000000000001E-2</v>
      </c>
      <c r="N91" s="80">
        <v>0.8</v>
      </c>
      <c r="O91" s="3"/>
      <c r="P91" s="348" t="s">
        <v>71</v>
      </c>
      <c r="Q91" s="348"/>
      <c r="R91" s="89" t="s">
        <v>76</v>
      </c>
      <c r="S91" s="3"/>
      <c r="T91" s="3"/>
      <c r="U91" s="11"/>
      <c r="V91" s="1"/>
      <c r="W91" s="1"/>
      <c r="X91" s="1"/>
      <c r="Y91" s="1"/>
      <c r="Z91" s="1"/>
      <c r="AA91" s="1"/>
    </row>
    <row r="92" spans="1:32" ht="15" customHeight="1" x14ac:dyDescent="0.25">
      <c r="A92" s="1"/>
      <c r="B92" s="404"/>
      <c r="C92" s="405"/>
      <c r="D92" s="405"/>
      <c r="E92" s="3"/>
      <c r="F92" s="41" t="s">
        <v>61</v>
      </c>
      <c r="G92" s="41"/>
      <c r="H92" s="41"/>
      <c r="I92" s="387">
        <v>1.25</v>
      </c>
      <c r="J92" s="3"/>
      <c r="K92" s="122" t="s">
        <v>47</v>
      </c>
      <c r="L92" s="122"/>
      <c r="M92" s="58">
        <v>0.03</v>
      </c>
      <c r="N92" s="390">
        <v>0.75</v>
      </c>
      <c r="O92" s="3"/>
      <c r="P92" s="388" t="s">
        <v>74</v>
      </c>
      <c r="Q92" s="68">
        <v>0.4</v>
      </c>
      <c r="R92" s="89">
        <v>1.4</v>
      </c>
      <c r="S92" s="3"/>
      <c r="T92" s="3"/>
      <c r="U92" s="11"/>
      <c r="V92" s="1"/>
      <c r="W92" s="1"/>
      <c r="X92" s="1"/>
      <c r="Y92" s="1"/>
      <c r="Z92" s="1"/>
      <c r="AA92" s="1"/>
    </row>
    <row r="93" spans="1:32" ht="15" customHeight="1" x14ac:dyDescent="0.25">
      <c r="A93" s="1"/>
      <c r="B93" s="404"/>
      <c r="C93" s="405"/>
      <c r="D93" s="405"/>
      <c r="E93" s="3"/>
      <c r="F93" s="122" t="s">
        <v>62</v>
      </c>
      <c r="G93" s="122"/>
      <c r="H93" s="122"/>
      <c r="I93" s="81">
        <v>1</v>
      </c>
      <c r="J93" s="3"/>
      <c r="K93" s="3"/>
      <c r="L93" s="3"/>
      <c r="M93" s="3"/>
      <c r="N93" s="3"/>
      <c r="O93" s="3"/>
      <c r="P93" s="389"/>
      <c r="Q93" s="68">
        <v>0.3</v>
      </c>
      <c r="R93" s="89">
        <v>1.4</v>
      </c>
      <c r="S93" s="3"/>
      <c r="T93" s="3"/>
      <c r="U93" s="11"/>
      <c r="V93" s="1"/>
      <c r="W93" s="1"/>
      <c r="X93" s="1"/>
      <c r="Y93" s="1"/>
      <c r="Z93" s="1"/>
      <c r="AA93" s="1"/>
    </row>
    <row r="94" spans="1:32" ht="15" customHeight="1" x14ac:dyDescent="0.25">
      <c r="A94" s="1"/>
      <c r="B94" s="404"/>
      <c r="C94" s="405"/>
      <c r="D94" s="405"/>
      <c r="E94" s="3"/>
      <c r="F94" s="395"/>
      <c r="G94" s="395"/>
      <c r="H94" s="395"/>
      <c r="I94" s="3"/>
      <c r="J94" s="3"/>
      <c r="K94" s="3"/>
      <c r="L94" s="3"/>
      <c r="M94" s="3"/>
      <c r="N94" s="3"/>
      <c r="O94" s="3"/>
      <c r="P94" s="389"/>
      <c r="Q94" s="68">
        <v>0.2</v>
      </c>
      <c r="R94" s="89">
        <v>1.5</v>
      </c>
      <c r="S94" s="3"/>
      <c r="T94" s="3"/>
      <c r="U94" s="11"/>
      <c r="V94" s="1"/>
      <c r="W94" s="1"/>
      <c r="X94" s="1"/>
      <c r="Y94" s="1"/>
      <c r="Z94" s="1"/>
      <c r="AA94" s="1"/>
    </row>
    <row r="95" spans="1:32" ht="15" customHeight="1" x14ac:dyDescent="0.25">
      <c r="A95" s="1"/>
      <c r="B95" s="404"/>
      <c r="C95" s="405"/>
      <c r="D95" s="405"/>
      <c r="E95" s="3"/>
      <c r="F95" s="122"/>
      <c r="G95" s="122"/>
      <c r="H95" s="122"/>
      <c r="I95" s="3"/>
      <c r="J95" s="3"/>
      <c r="K95" s="3"/>
      <c r="L95" s="3"/>
      <c r="M95" s="3"/>
      <c r="N95" s="3"/>
      <c r="O95" s="3"/>
      <c r="P95" s="389"/>
      <c r="Q95" s="68">
        <v>0.15</v>
      </c>
      <c r="R95" s="89">
        <v>1.6</v>
      </c>
      <c r="S95" s="3"/>
      <c r="T95" s="3"/>
      <c r="U95" s="11"/>
      <c r="V95" s="1"/>
      <c r="W95" s="1"/>
      <c r="X95" s="1"/>
      <c r="Y95" s="1"/>
      <c r="Z95" s="1"/>
      <c r="AA95" s="1"/>
    </row>
    <row r="96" spans="1:32" ht="15" customHeight="1" x14ac:dyDescent="0.25">
      <c r="A96" s="1"/>
      <c r="B96" s="404"/>
      <c r="C96" s="405"/>
      <c r="D96" s="405"/>
      <c r="E96" s="3"/>
      <c r="F96" s="250" t="s">
        <v>175</v>
      </c>
      <c r="G96" s="250"/>
      <c r="H96" s="250"/>
      <c r="I96" s="3"/>
      <c r="J96" s="3"/>
      <c r="K96" s="3"/>
      <c r="L96" s="3"/>
      <c r="M96" s="3"/>
      <c r="N96" s="3"/>
      <c r="O96" s="3"/>
      <c r="P96" s="392" t="s">
        <v>75</v>
      </c>
      <c r="Q96" s="393">
        <v>0.1</v>
      </c>
      <c r="R96" s="394">
        <v>1.7</v>
      </c>
      <c r="S96" s="3"/>
      <c r="T96" s="3"/>
      <c r="U96" s="11"/>
      <c r="V96" s="1"/>
      <c r="W96" s="1"/>
      <c r="X96" s="1"/>
      <c r="Y96" s="1"/>
      <c r="Z96" s="1"/>
      <c r="AA96" s="1"/>
    </row>
    <row r="97" spans="1:27" ht="15" customHeight="1" x14ac:dyDescent="0.25">
      <c r="A97" s="1"/>
      <c r="B97" s="404"/>
      <c r="C97" s="405"/>
      <c r="D97" s="405"/>
      <c r="E97" s="3"/>
      <c r="F97" s="253" t="s">
        <v>177</v>
      </c>
      <c r="G97" s="253"/>
      <c r="H97" s="165">
        <v>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11"/>
      <c r="V97" s="1"/>
      <c r="W97" s="1"/>
      <c r="X97" s="1"/>
      <c r="Y97" s="1"/>
      <c r="Z97" s="1"/>
      <c r="AA97" s="1"/>
    </row>
    <row r="98" spans="1:27" ht="15" customHeight="1" x14ac:dyDescent="0.25">
      <c r="A98" s="1"/>
      <c r="B98" s="404"/>
      <c r="C98" s="405"/>
      <c r="D98" s="405"/>
      <c r="E98" s="3"/>
      <c r="F98" s="253" t="s">
        <v>55</v>
      </c>
      <c r="G98" s="253"/>
      <c r="H98" s="172">
        <f>0.75+0.5*E32</f>
        <v>1.349959685094372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11"/>
      <c r="V98" s="1"/>
      <c r="W98" s="1"/>
      <c r="X98" s="1"/>
      <c r="Y98" s="1"/>
      <c r="Z98" s="1"/>
      <c r="AA98" s="1"/>
    </row>
    <row r="99" spans="1:27" ht="15" customHeight="1" x14ac:dyDescent="0.25">
      <c r="A99" s="1"/>
      <c r="B99" s="404"/>
      <c r="C99" s="405"/>
      <c r="D99" s="405"/>
      <c r="E99" s="3"/>
      <c r="F99" s="254" t="s">
        <v>54</v>
      </c>
      <c r="G99" s="254"/>
      <c r="H99" s="173">
        <v>2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11"/>
      <c r="V99" s="1"/>
      <c r="W99" s="1"/>
      <c r="X99" s="1"/>
      <c r="Y99" s="1"/>
      <c r="Z99" s="1"/>
      <c r="AA99" s="1"/>
    </row>
    <row r="100" spans="1:27" x14ac:dyDescent="0.25">
      <c r="A100" s="1"/>
      <c r="B100" s="404"/>
      <c r="C100" s="405"/>
      <c r="D100" s="40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11"/>
      <c r="V100" s="1"/>
      <c r="W100" s="1"/>
      <c r="X100" s="1"/>
      <c r="Y100" s="1"/>
      <c r="Z100" s="1"/>
      <c r="AA100" s="1"/>
    </row>
    <row r="101" spans="1:27" ht="15.75" thickBot="1" x14ac:dyDescent="0.3">
      <c r="A101" s="1"/>
      <c r="B101" s="406"/>
      <c r="C101" s="407"/>
      <c r="D101" s="407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5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3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3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3"/>
      <c r="E104" s="3"/>
      <c r="F104" s="3"/>
      <c r="G104" s="3"/>
      <c r="H104" s="3"/>
      <c r="I104" s="3"/>
      <c r="J104" s="39"/>
      <c r="K104" s="39"/>
      <c r="L104" s="39"/>
      <c r="M104" s="3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3"/>
      <c r="E105" s="3"/>
      <c r="F105" s="3"/>
      <c r="G105" s="41"/>
      <c r="H105" s="41"/>
      <c r="I105" s="41"/>
      <c r="J105" s="39"/>
      <c r="K105" s="39"/>
      <c r="L105" s="3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3"/>
      <c r="H106" s="3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</sheetData>
  <sheetProtection algorithmName="SHA-512" hashValue="web3oD+GSH0SuEqX/80sJg8zKcyTkkjiPErnZ2gM9m7pDupFjm6QrbWa0Cx7SaWEajy/iZsgqnPyhVLxhAbrhg==" saltValue="0x81cUs+csPAA+1YG1hwxw==" spinCount="100000" sheet="1" objects="1" scenarios="1"/>
  <mergeCells count="88">
    <mergeCell ref="C9:E10"/>
    <mergeCell ref="O12:Q12"/>
    <mergeCell ref="K89:N89"/>
    <mergeCell ref="B2:U2"/>
    <mergeCell ref="C70:F70"/>
    <mergeCell ref="C36:S37"/>
    <mergeCell ref="C39:J39"/>
    <mergeCell ref="P71:S72"/>
    <mergeCell ref="P73:Q73"/>
    <mergeCell ref="R73:S73"/>
    <mergeCell ref="B87:D101"/>
    <mergeCell ref="L44:M46"/>
    <mergeCell ref="L47:M47"/>
    <mergeCell ref="L50:M50"/>
    <mergeCell ref="F8:G8"/>
    <mergeCell ref="F7:G7"/>
    <mergeCell ref="F10:G10"/>
    <mergeCell ref="F13:G13"/>
    <mergeCell ref="F14:G14"/>
    <mergeCell ref="F15:G15"/>
    <mergeCell ref="F12:G12"/>
    <mergeCell ref="F9:G9"/>
    <mergeCell ref="I5:I7"/>
    <mergeCell ref="H44:I44"/>
    <mergeCell ref="H45:I45"/>
    <mergeCell ref="H46:I46"/>
    <mergeCell ref="C32:D32"/>
    <mergeCell ref="C16:E17"/>
    <mergeCell ref="B23:U23"/>
    <mergeCell ref="C29:D29"/>
    <mergeCell ref="C30:D30"/>
    <mergeCell ref="G30:H30"/>
    <mergeCell ref="C27:D27"/>
    <mergeCell ref="C28:D28"/>
    <mergeCell ref="G28:H28"/>
    <mergeCell ref="C26:I26"/>
    <mergeCell ref="C45:C46"/>
    <mergeCell ref="H41:I41"/>
    <mergeCell ref="H42:I42"/>
    <mergeCell ref="C6:E6"/>
    <mergeCell ref="C7:E7"/>
    <mergeCell ref="C5:G5"/>
    <mergeCell ref="J5:L5"/>
    <mergeCell ref="O5:Q5"/>
    <mergeCell ref="F6:G6"/>
    <mergeCell ref="S5:T8"/>
    <mergeCell ref="H47:I47"/>
    <mergeCell ref="C50:J50"/>
    <mergeCell ref="C18:E18"/>
    <mergeCell ref="C11:E11"/>
    <mergeCell ref="C13:E13"/>
    <mergeCell ref="C14:E14"/>
    <mergeCell ref="C8:E8"/>
    <mergeCell ref="C15:E15"/>
    <mergeCell ref="G29:H29"/>
    <mergeCell ref="G31:H31"/>
    <mergeCell ref="H40:I40"/>
    <mergeCell ref="H43:I43"/>
    <mergeCell ref="C64:H65"/>
    <mergeCell ref="I56:J56"/>
    <mergeCell ref="I57:J57"/>
    <mergeCell ref="I58:J58"/>
    <mergeCell ref="C67:E67"/>
    <mergeCell ref="C51:C52"/>
    <mergeCell ref="F51:F52"/>
    <mergeCell ref="I59:J59"/>
    <mergeCell ref="I51:J51"/>
    <mergeCell ref="D51:D52"/>
    <mergeCell ref="E51:E52"/>
    <mergeCell ref="I52:J52"/>
    <mergeCell ref="I53:J53"/>
    <mergeCell ref="I54:J54"/>
    <mergeCell ref="I55:J55"/>
    <mergeCell ref="C71:F71"/>
    <mergeCell ref="I71:N71"/>
    <mergeCell ref="C72:D72"/>
    <mergeCell ref="E72:F72"/>
    <mergeCell ref="H72:H73"/>
    <mergeCell ref="I72:J72"/>
    <mergeCell ref="L72:M72"/>
    <mergeCell ref="P91:Q91"/>
    <mergeCell ref="F98:G98"/>
    <mergeCell ref="F99:G99"/>
    <mergeCell ref="F89:I89"/>
    <mergeCell ref="F90:H90"/>
    <mergeCell ref="P89:R90"/>
    <mergeCell ref="F97:G97"/>
    <mergeCell ref="F96:H96"/>
  </mergeCells>
  <dataValidations count="2">
    <dataValidation type="list" allowBlank="1" showInputMessage="1" showErrorMessage="1" sqref="F9" xr:uid="{00000000-0002-0000-0000-000001000000}">
      <formula1>$F$91:$F$93</formula1>
    </dataValidation>
    <dataValidation type="list" allowBlank="1" showInputMessage="1" showErrorMessage="1" sqref="F12" xr:uid="{00000000-0002-0000-0000-000000000000}">
      <formula1>$K$91:$K$92</formula1>
    </dataValidation>
  </dataValidations>
  <pageMargins left="0.7" right="0.7" top="0.75" bottom="0.75" header="0.3" footer="0.3"/>
  <pageSetup paperSize="9" orientation="portrait" horizontalDpi="4294967293" verticalDpi="0" r:id="rId1"/>
  <ignoredErrors>
    <ignoredError sqref="F15" unlockedFormula="1"/>
    <ignoredError sqref="I30 I32 J40:J46 H52:I52" numberStoredAsText="1"/>
    <ignoredError sqref="R76:R7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102"/>
  <sheetViews>
    <sheetView showGridLines="0" topLeftCell="A46" zoomScale="75" zoomScaleNormal="75" workbookViewId="0">
      <selection activeCell="J70" sqref="J70"/>
    </sheetView>
  </sheetViews>
  <sheetFormatPr defaultColWidth="11.42578125" defaultRowHeight="15" x14ac:dyDescent="0.25"/>
  <cols>
    <col min="1" max="1" width="5" style="13" customWidth="1"/>
    <col min="2" max="2" width="5.28515625" style="13" customWidth="1"/>
    <col min="3" max="3" width="16.85546875" style="13" customWidth="1"/>
    <col min="4" max="20" width="12.42578125" style="13" customWidth="1"/>
    <col min="21" max="21" width="5.28515625" style="13" customWidth="1"/>
    <col min="22" max="24" width="12.85546875" style="13" customWidth="1"/>
    <col min="25" max="16384" width="11.42578125" style="13"/>
  </cols>
  <sheetData>
    <row r="2" spans="2:21" ht="15.75" thickBot="1" x14ac:dyDescent="0.3"/>
    <row r="3" spans="2:21" ht="21.75" thickBot="1" x14ac:dyDescent="0.3">
      <c r="B3" s="396" t="s">
        <v>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8"/>
    </row>
    <row r="4" spans="2:21" x14ac:dyDescent="0.25"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1"/>
    </row>
    <row r="5" spans="2:21" ht="15.75" thickBot="1" x14ac:dyDescent="0.3"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2"/>
      <c r="O5" s="12"/>
      <c r="P5" s="12"/>
      <c r="Q5" s="12"/>
      <c r="R5" s="3"/>
      <c r="S5" s="3"/>
      <c r="T5" s="3"/>
      <c r="U5" s="11"/>
    </row>
    <row r="6" spans="2:21" ht="21.75" thickBot="1" x14ac:dyDescent="0.4">
      <c r="B6" s="10"/>
      <c r="C6" s="354" t="s">
        <v>66</v>
      </c>
      <c r="D6" s="355"/>
      <c r="E6" s="355"/>
      <c r="F6" s="355"/>
      <c r="G6" s="356"/>
      <c r="H6" s="3"/>
      <c r="I6" s="471" t="s">
        <v>133</v>
      </c>
      <c r="J6" s="453" t="s">
        <v>86</v>
      </c>
      <c r="K6" s="454"/>
      <c r="L6" s="455"/>
      <c r="M6" s="456" t="s">
        <v>69</v>
      </c>
      <c r="N6" s="3"/>
      <c r="O6" s="476" t="s">
        <v>454</v>
      </c>
      <c r="P6" s="477"/>
      <c r="Q6" s="478"/>
      <c r="R6" s="3"/>
      <c r="S6" s="467" t="s">
        <v>85</v>
      </c>
      <c r="T6" s="468"/>
      <c r="U6" s="11"/>
    </row>
    <row r="7" spans="2:21" ht="15.75" customHeight="1" thickBot="1" x14ac:dyDescent="0.3">
      <c r="B7" s="10"/>
      <c r="C7" s="295" t="s">
        <v>57</v>
      </c>
      <c r="D7" s="296"/>
      <c r="E7" s="297"/>
      <c r="F7" s="503">
        <f>'1. Prediseño'!F6</f>
        <v>8</v>
      </c>
      <c r="G7" s="504"/>
      <c r="H7" s="3"/>
      <c r="I7" s="472"/>
      <c r="J7" s="473" t="s">
        <v>90</v>
      </c>
      <c r="K7" s="459" t="s">
        <v>87</v>
      </c>
      <c r="L7" s="460" t="s">
        <v>88</v>
      </c>
      <c r="M7" s="461" t="s">
        <v>89</v>
      </c>
      <c r="N7" s="3"/>
      <c r="O7" s="321" t="s">
        <v>134</v>
      </c>
      <c r="P7" s="106">
        <f>'1. Prediseño'!P6</f>
        <v>0.6</v>
      </c>
      <c r="Q7" s="107" t="s">
        <v>52</v>
      </c>
      <c r="R7" s="3"/>
      <c r="S7" s="469" t="s">
        <v>95</v>
      </c>
      <c r="T7" s="470" t="s">
        <v>94</v>
      </c>
      <c r="U7" s="11"/>
    </row>
    <row r="8" spans="2:21" ht="15.75" customHeight="1" thickBot="1" x14ac:dyDescent="0.3">
      <c r="B8" s="10"/>
      <c r="C8" s="322" t="s">
        <v>58</v>
      </c>
      <c r="D8" s="323"/>
      <c r="E8" s="324"/>
      <c r="F8" s="316">
        <f>'1. Prediseño'!F7</f>
        <v>3</v>
      </c>
      <c r="G8" s="505"/>
      <c r="H8" s="3"/>
      <c r="I8" s="474"/>
      <c r="J8" s="475" t="s">
        <v>91</v>
      </c>
      <c r="K8" s="464" t="s">
        <v>67</v>
      </c>
      <c r="L8" s="465" t="s">
        <v>67</v>
      </c>
      <c r="M8" s="466" t="s">
        <v>6</v>
      </c>
      <c r="N8" s="3"/>
      <c r="O8" s="325" t="s">
        <v>93</v>
      </c>
      <c r="P8" s="110">
        <f>'1. Prediseño'!P7</f>
        <v>1.5</v>
      </c>
      <c r="Q8" s="111" t="s">
        <v>52</v>
      </c>
      <c r="R8" s="3"/>
      <c r="S8" s="506">
        <v>1</v>
      </c>
      <c r="T8" s="951">
        <v>3.2549999999999999</v>
      </c>
      <c r="U8" s="507"/>
    </row>
    <row r="9" spans="2:21" x14ac:dyDescent="0.25">
      <c r="B9" s="10"/>
      <c r="C9" s="322" t="s">
        <v>59</v>
      </c>
      <c r="D9" s="323"/>
      <c r="E9" s="324"/>
      <c r="F9" s="316">
        <f>'1. Prediseño'!F8</f>
        <v>5.5</v>
      </c>
      <c r="G9" s="505"/>
      <c r="H9" s="3"/>
      <c r="I9" s="487" t="s">
        <v>14</v>
      </c>
      <c r="J9" s="508">
        <f>'1. Prediseño'!J8</f>
        <v>18.581479999999999</v>
      </c>
      <c r="K9" s="509">
        <f>'1. Prediseño'!K8</f>
        <v>598.32365600000003</v>
      </c>
      <c r="L9" s="510">
        <f>'1. Prediseño'!L8</f>
        <v>288</v>
      </c>
      <c r="M9" s="511">
        <f>'1. Prediseño'!M8</f>
        <v>72</v>
      </c>
      <c r="N9" s="41"/>
      <c r="O9" s="321" t="s">
        <v>135</v>
      </c>
      <c r="P9" s="106">
        <f>'1. Prediseño'!P8</f>
        <v>0.89999999999999991</v>
      </c>
      <c r="Q9" s="107" t="s">
        <v>52</v>
      </c>
      <c r="R9" s="3"/>
      <c r="S9" s="512">
        <v>2</v>
      </c>
      <c r="T9" s="952">
        <v>2.2320000000000002</v>
      </c>
      <c r="U9" s="507"/>
    </row>
    <row r="10" spans="2:21" ht="15.75" thickBot="1" x14ac:dyDescent="0.3">
      <c r="B10" s="10"/>
      <c r="C10" s="279" t="s">
        <v>56</v>
      </c>
      <c r="D10" s="280"/>
      <c r="E10" s="281"/>
      <c r="F10" s="408">
        <f>'1. Prediseño'!F10</f>
        <v>1</v>
      </c>
      <c r="G10" s="294"/>
      <c r="H10" s="3"/>
      <c r="I10" s="488" t="s">
        <v>147</v>
      </c>
      <c r="J10" s="513">
        <f>'1. Prediseño'!J9</f>
        <v>38.278559999999999</v>
      </c>
      <c r="K10" s="114">
        <f>'1. Prediseño'!K9</f>
        <v>1232.5696320000002</v>
      </c>
      <c r="L10" s="115">
        <f>'1. Prediseño'!L9</f>
        <v>1152</v>
      </c>
      <c r="M10" s="514">
        <f>'1. Prediseño'!M9</f>
        <v>60</v>
      </c>
      <c r="N10" s="41"/>
      <c r="O10" s="325" t="s">
        <v>136</v>
      </c>
      <c r="P10" s="110">
        <f>'1. Prediseño'!P9</f>
        <v>1.5</v>
      </c>
      <c r="Q10" s="111" t="s">
        <v>52</v>
      </c>
      <c r="R10" s="3"/>
      <c r="S10" s="512">
        <v>3</v>
      </c>
      <c r="T10" s="952">
        <v>1.7190000000000001</v>
      </c>
      <c r="U10" s="507"/>
    </row>
    <row r="11" spans="2:21" x14ac:dyDescent="0.25">
      <c r="B11" s="10"/>
      <c r="C11" s="327" t="s">
        <v>62</v>
      </c>
      <c r="D11" s="328"/>
      <c r="E11" s="329"/>
      <c r="F11" s="341"/>
      <c r="G11" s="342"/>
      <c r="H11" s="3"/>
      <c r="I11" s="488" t="s">
        <v>17</v>
      </c>
      <c r="J11" s="513">
        <f>'1. Prediseño'!J10</f>
        <v>38.469079999999998</v>
      </c>
      <c r="K11" s="114">
        <f>'1. Prediseño'!K10</f>
        <v>1238.7043760000001</v>
      </c>
      <c r="L11" s="115">
        <f>'1. Prediseño'!L10</f>
        <v>1152</v>
      </c>
      <c r="M11" s="514">
        <f>'1. Prediseño'!M10</f>
        <v>48</v>
      </c>
      <c r="N11" s="41"/>
      <c r="O11" s="326" t="s">
        <v>138</v>
      </c>
      <c r="P11" s="441">
        <f>'1. Prediseño'!P10</f>
        <v>1</v>
      </c>
      <c r="Q11" s="116" t="s">
        <v>52</v>
      </c>
      <c r="R11" s="3"/>
      <c r="S11" s="512">
        <v>4</v>
      </c>
      <c r="T11" s="952">
        <v>1.022</v>
      </c>
      <c r="U11" s="507"/>
    </row>
    <row r="12" spans="2:21" ht="15.75" thickBot="1" x14ac:dyDescent="0.3">
      <c r="B12" s="10"/>
      <c r="C12" s="327" t="s">
        <v>49</v>
      </c>
      <c r="D12" s="328"/>
      <c r="E12" s="329"/>
      <c r="F12" s="105">
        <f>'1. Prediseño'!F11</f>
        <v>72</v>
      </c>
      <c r="G12" s="49" t="s">
        <v>6</v>
      </c>
      <c r="H12" s="3"/>
      <c r="I12" s="488" t="s">
        <v>18</v>
      </c>
      <c r="J12" s="513">
        <f>'1. Prediseño'!J11</f>
        <v>38.779350000000001</v>
      </c>
      <c r="K12" s="114">
        <f>'1. Prediseño'!K11</f>
        <v>1248.6950700000002</v>
      </c>
      <c r="L12" s="115">
        <f>'1. Prediseño'!L11</f>
        <v>1152</v>
      </c>
      <c r="M12" s="514">
        <f>'1. Prediseño'!M11</f>
        <v>36</v>
      </c>
      <c r="N12" s="41"/>
      <c r="O12" s="325" t="s">
        <v>137</v>
      </c>
      <c r="P12" s="110">
        <f>'1. Prediseño'!P11</f>
        <v>0.59999999999999987</v>
      </c>
      <c r="Q12" s="111" t="s">
        <v>52</v>
      </c>
      <c r="R12" s="3"/>
      <c r="S12" s="512">
        <v>5</v>
      </c>
      <c r="T12" s="952">
        <v>0.74399999999999999</v>
      </c>
      <c r="U12" s="507"/>
    </row>
    <row r="13" spans="2:21" ht="15.75" thickBot="1" x14ac:dyDescent="0.3">
      <c r="B13" s="10"/>
      <c r="C13" s="96" t="s">
        <v>65</v>
      </c>
      <c r="D13" s="97"/>
      <c r="E13" s="98"/>
      <c r="F13" s="316" t="str">
        <f>'1. Prediseño'!F12</f>
        <v>Sin Arriostramiento</v>
      </c>
      <c r="G13" s="505"/>
      <c r="H13" s="3"/>
      <c r="I13" s="488" t="s">
        <v>19</v>
      </c>
      <c r="J13" s="513">
        <f>'1. Prediseño'!J12</f>
        <v>39.01332</v>
      </c>
      <c r="K13" s="114">
        <f>'1. Prediseño'!K12</f>
        <v>1256.2289040000001</v>
      </c>
      <c r="L13" s="115">
        <f>'1. Prediseño'!L12</f>
        <v>1152</v>
      </c>
      <c r="M13" s="514">
        <f>'1. Prediseño'!M12</f>
        <v>24</v>
      </c>
      <c r="N13" s="41"/>
      <c r="O13" s="271" t="s">
        <v>111</v>
      </c>
      <c r="P13" s="272"/>
      <c r="Q13" s="273"/>
      <c r="R13" s="3"/>
      <c r="S13" s="512">
        <v>6</v>
      </c>
      <c r="T13" s="952">
        <v>0.57699999999999996</v>
      </c>
      <c r="U13" s="507"/>
    </row>
    <row r="14" spans="2:21" x14ac:dyDescent="0.25">
      <c r="B14" s="10"/>
      <c r="C14" s="327" t="s">
        <v>63</v>
      </c>
      <c r="D14" s="328"/>
      <c r="E14" s="329"/>
      <c r="F14" s="416">
        <f>'1. Prediseño'!F13</f>
        <v>0.9</v>
      </c>
      <c r="G14" s="417"/>
      <c r="H14" s="3"/>
      <c r="I14" s="488" t="s">
        <v>16</v>
      </c>
      <c r="J14" s="513">
        <f>'1. Prediseño'!J13</f>
        <v>39.051749999999998</v>
      </c>
      <c r="K14" s="114">
        <f>'1. Prediseño'!K13</f>
        <v>1257.4663500000001</v>
      </c>
      <c r="L14" s="115">
        <f>'1. Prediseño'!L13</f>
        <v>1152</v>
      </c>
      <c r="M14" s="514">
        <f>'1. Prediseño'!M13</f>
        <v>12</v>
      </c>
      <c r="N14" s="41"/>
      <c r="O14" s="333" t="s">
        <v>38</v>
      </c>
      <c r="P14" s="83">
        <f>'1. Prediseño'!P13</f>
        <v>0.11999999999999998</v>
      </c>
      <c r="Q14" s="84" t="s">
        <v>151</v>
      </c>
      <c r="R14" s="3"/>
      <c r="S14" s="512">
        <v>7</v>
      </c>
      <c r="T14" s="952">
        <v>0.52700000000000002</v>
      </c>
      <c r="U14" s="507"/>
    </row>
    <row r="15" spans="2:21" ht="15.75" thickBot="1" x14ac:dyDescent="0.3">
      <c r="B15" s="10"/>
      <c r="C15" s="327" t="s">
        <v>64</v>
      </c>
      <c r="D15" s="328"/>
      <c r="E15" s="329"/>
      <c r="F15" s="416">
        <f>'1. Prediseño'!F14</f>
        <v>1</v>
      </c>
      <c r="G15" s="417"/>
      <c r="H15" s="3"/>
      <c r="I15" s="489" t="s">
        <v>30</v>
      </c>
      <c r="J15" s="515">
        <f>'1. Prediseño'!J14</f>
        <v>0.67666999999999999</v>
      </c>
      <c r="K15" s="117">
        <f>'1. Prediseño'!K14</f>
        <v>21.788774</v>
      </c>
      <c r="L15" s="118">
        <f>'1. Prediseño'!L14</f>
        <v>0</v>
      </c>
      <c r="M15" s="516">
        <f>'1. Prediseño'!M14</f>
        <v>0</v>
      </c>
      <c r="N15" s="41"/>
      <c r="O15" s="334" t="s">
        <v>118</v>
      </c>
      <c r="P15" s="85">
        <f>'1. Prediseño'!P14</f>
        <v>0.59999999999999987</v>
      </c>
      <c r="Q15" s="86" t="s">
        <v>151</v>
      </c>
      <c r="R15" s="3"/>
      <c r="S15" s="512">
        <v>8</v>
      </c>
      <c r="T15" s="952">
        <v>0.42499999999999999</v>
      </c>
      <c r="U15" s="507"/>
    </row>
    <row r="16" spans="2:21" ht="15.75" thickBot="1" x14ac:dyDescent="0.3">
      <c r="B16" s="10"/>
      <c r="C16" s="327" t="s">
        <v>92</v>
      </c>
      <c r="D16" s="328"/>
      <c r="E16" s="329"/>
      <c r="F16" s="416">
        <f>'1. Prediseño'!F15</f>
        <v>1.4</v>
      </c>
      <c r="G16" s="417"/>
      <c r="H16" s="3"/>
      <c r="I16" s="418" t="s">
        <v>10</v>
      </c>
      <c r="J16" s="232"/>
      <c r="K16" s="92">
        <f>SUM(K9:K15)</f>
        <v>6853.7767620000004</v>
      </c>
      <c r="L16" s="91">
        <v>6048</v>
      </c>
      <c r="M16" s="90"/>
      <c r="N16" s="41"/>
      <c r="O16" s="337" t="s">
        <v>39</v>
      </c>
      <c r="P16" s="87">
        <f>'1. Prediseño'!P15</f>
        <v>12</v>
      </c>
      <c r="Q16" s="88" t="s">
        <v>151</v>
      </c>
      <c r="R16" s="3"/>
      <c r="S16" s="512">
        <v>9</v>
      </c>
      <c r="T16" s="952">
        <v>0.42499999999999999</v>
      </c>
      <c r="U16" s="507"/>
    </row>
    <row r="17" spans="2:21" x14ac:dyDescent="0.25">
      <c r="B17" s="10"/>
      <c r="C17" s="335" t="s">
        <v>79</v>
      </c>
      <c r="D17" s="336"/>
      <c r="E17" s="420"/>
      <c r="F17" s="415">
        <f>'1. Prediseño'!F16</f>
        <v>32.200000000000003</v>
      </c>
      <c r="G17" s="61" t="s">
        <v>80</v>
      </c>
      <c r="H17" s="3"/>
      <c r="I17" s="89"/>
      <c r="J17" s="50"/>
      <c r="K17" s="31"/>
      <c r="L17" s="3"/>
      <c r="M17" s="41"/>
      <c r="N17" s="12"/>
      <c r="O17" s="12"/>
      <c r="P17" s="12"/>
      <c r="Q17" s="12"/>
      <c r="R17" s="3"/>
      <c r="S17" s="512">
        <v>10</v>
      </c>
      <c r="T17" s="952">
        <v>0.42499999999999999</v>
      </c>
      <c r="U17" s="507"/>
    </row>
    <row r="18" spans="2:21" x14ac:dyDescent="0.25">
      <c r="B18" s="10"/>
      <c r="C18" s="349"/>
      <c r="D18" s="350"/>
      <c r="E18" s="421"/>
      <c r="F18" s="414">
        <f>'1. Prediseño'!F17</f>
        <v>386.22047244094</v>
      </c>
      <c r="G18" s="60" t="s">
        <v>114</v>
      </c>
      <c r="H18" s="1"/>
      <c r="I18" s="89"/>
      <c r="J18" s="50"/>
      <c r="K18" s="31"/>
      <c r="L18" s="3"/>
      <c r="M18" s="41"/>
      <c r="N18" s="12"/>
      <c r="O18" s="12"/>
      <c r="P18" s="41"/>
      <c r="Q18" s="41"/>
      <c r="R18" s="3"/>
      <c r="S18" s="512">
        <v>11</v>
      </c>
      <c r="T18" s="952">
        <v>0.42499999999999999</v>
      </c>
      <c r="U18" s="507"/>
    </row>
    <row r="19" spans="2:21" ht="15.75" thickBot="1" x14ac:dyDescent="0.3">
      <c r="B19" s="10"/>
      <c r="C19" s="327" t="s">
        <v>96</v>
      </c>
      <c r="D19" s="328"/>
      <c r="E19" s="329"/>
      <c r="F19" s="416">
        <f>'1. Prediseño'!F18</f>
        <v>1.5</v>
      </c>
      <c r="G19" s="417"/>
      <c r="H19" s="82"/>
      <c r="I19" s="89"/>
      <c r="J19" s="50"/>
      <c r="K19" s="31"/>
      <c r="L19" s="3"/>
      <c r="M19" s="41"/>
      <c r="N19" s="12"/>
      <c r="O19" s="12"/>
      <c r="P19" s="41"/>
      <c r="Q19" s="41"/>
      <c r="R19" s="3"/>
      <c r="S19" s="517">
        <v>12</v>
      </c>
      <c r="T19" s="953">
        <v>0.42199999999999999</v>
      </c>
      <c r="U19" s="507"/>
    </row>
    <row r="20" spans="2:21" ht="15.75" thickBot="1" x14ac:dyDescent="0.3">
      <c r="B20" s="10"/>
      <c r="C20" s="338" t="str">
        <f>'1. Prediseño'!C47</f>
        <v>V - Para el Diseño con disipadores</v>
      </c>
      <c r="D20" s="339"/>
      <c r="E20" s="340"/>
      <c r="F20" s="422">
        <f>'1. Prediseño'!F44</f>
        <v>428.3898317844006</v>
      </c>
      <c r="G20" s="77" t="str">
        <f>'1. Prediseño'!G47</f>
        <v xml:space="preserve">kips </v>
      </c>
      <c r="H20" s="3"/>
      <c r="I20" s="89"/>
      <c r="J20" s="50"/>
      <c r="K20" s="31"/>
      <c r="L20" s="3"/>
      <c r="M20" s="41"/>
      <c r="N20" s="12"/>
      <c r="O20" s="12"/>
      <c r="P20" s="41"/>
      <c r="Q20" s="41"/>
      <c r="R20" s="41"/>
      <c r="S20" s="41"/>
      <c r="T20" s="41"/>
      <c r="U20" s="507"/>
    </row>
    <row r="21" spans="2:21" x14ac:dyDescent="0.25">
      <c r="B21" s="10"/>
      <c r="C21" s="89"/>
      <c r="D21" s="89"/>
      <c r="E21" s="89"/>
      <c r="F21" s="89"/>
      <c r="G21" s="89"/>
      <c r="H21" s="89"/>
      <c r="I21" s="89"/>
      <c r="J21" s="50"/>
      <c r="K21" s="31"/>
      <c r="L21" s="3"/>
      <c r="M21" s="41"/>
      <c r="N21" s="12"/>
      <c r="O21" s="12"/>
      <c r="P21" s="41"/>
      <c r="Q21" s="41"/>
      <c r="R21" s="41"/>
      <c r="S21" s="41"/>
      <c r="T21" s="41"/>
      <c r="U21" s="507"/>
    </row>
    <row r="22" spans="2:21" ht="15.75" thickBot="1" x14ac:dyDescent="0.3">
      <c r="B22" s="23"/>
      <c r="C22" s="78"/>
      <c r="D22" s="78"/>
      <c r="E22" s="78"/>
      <c r="F22" s="78"/>
      <c r="G22" s="78"/>
      <c r="H22" s="78"/>
      <c r="I22" s="78"/>
      <c r="J22" s="48"/>
      <c r="K22" s="95"/>
      <c r="L22" s="24"/>
      <c r="M22" s="69"/>
      <c r="N22" s="94"/>
      <c r="O22" s="94"/>
      <c r="P22" s="69"/>
      <c r="Q22" s="69"/>
      <c r="R22" s="69"/>
      <c r="S22" s="69"/>
      <c r="T22" s="69"/>
      <c r="U22" s="25"/>
    </row>
    <row r="24" spans="2:21" ht="15.75" thickBot="1" x14ac:dyDescent="0.3"/>
    <row r="25" spans="2:21" ht="15" customHeight="1" x14ac:dyDescent="0.25">
      <c r="B25" s="518" t="s">
        <v>465</v>
      </c>
      <c r="C25" s="519"/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20"/>
    </row>
    <row r="26" spans="2:21" ht="15.75" customHeight="1" thickBot="1" x14ac:dyDescent="0.3">
      <c r="B26" s="521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3"/>
    </row>
    <row r="27" spans="2:21" x14ac:dyDescent="0.25">
      <c r="B27" s="524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6"/>
    </row>
    <row r="28" spans="2:21" x14ac:dyDescent="0.25">
      <c r="B28" s="527"/>
      <c r="C28" s="382" t="s">
        <v>464</v>
      </c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150"/>
      <c r="T28" s="150"/>
      <c r="U28" s="93"/>
    </row>
    <row r="29" spans="2:21" x14ac:dyDescent="0.25">
      <c r="B29" s="527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150"/>
      <c r="T29" s="150"/>
      <c r="U29" s="93"/>
    </row>
    <row r="30" spans="2:21" x14ac:dyDescent="0.25">
      <c r="B30" s="527"/>
      <c r="C30" s="528"/>
      <c r="D30" s="528"/>
      <c r="E30" s="528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93"/>
    </row>
    <row r="31" spans="2:21" x14ac:dyDescent="0.25">
      <c r="B31" s="527"/>
      <c r="C31" s="529" t="s">
        <v>108</v>
      </c>
      <c r="D31" s="529"/>
      <c r="E31" s="529"/>
      <c r="F31" s="150"/>
      <c r="G31" s="291" t="s">
        <v>99</v>
      </c>
      <c r="H31" s="291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93"/>
    </row>
    <row r="32" spans="2:21" x14ac:dyDescent="0.25">
      <c r="B32" s="527"/>
      <c r="C32" s="530" t="s">
        <v>102</v>
      </c>
      <c r="D32" s="954">
        <v>30</v>
      </c>
      <c r="E32" s="150" t="s">
        <v>6</v>
      </c>
      <c r="F32" s="150"/>
      <c r="G32" s="246" t="s">
        <v>12</v>
      </c>
      <c r="H32" s="246" t="s">
        <v>13</v>
      </c>
      <c r="I32" s="531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93"/>
    </row>
    <row r="33" spans="2:21" x14ac:dyDescent="0.25">
      <c r="B33" s="527"/>
      <c r="C33" s="532" t="s">
        <v>49</v>
      </c>
      <c r="D33" s="955">
        <v>12</v>
      </c>
      <c r="E33" s="528" t="s">
        <v>6</v>
      </c>
      <c r="F33" s="150"/>
      <c r="G33" s="80">
        <f>$D$35</f>
        <v>21.801409486351812</v>
      </c>
      <c r="H33" s="80">
        <f>$D$35</f>
        <v>21.801409486351812</v>
      </c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93"/>
    </row>
    <row r="34" spans="2:21" x14ac:dyDescent="0.25">
      <c r="B34" s="527"/>
      <c r="C34" s="533" t="s">
        <v>97</v>
      </c>
      <c r="D34" s="534">
        <f>ATAN(D33/D32)</f>
        <v>0.3805063771123649</v>
      </c>
      <c r="E34" s="150" t="s">
        <v>103</v>
      </c>
      <c r="F34" s="150"/>
      <c r="G34" s="80">
        <f>$D$35</f>
        <v>21.801409486351812</v>
      </c>
      <c r="H34" s="80">
        <f>$D$35</f>
        <v>21.801409486351812</v>
      </c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93"/>
    </row>
    <row r="35" spans="2:21" x14ac:dyDescent="0.25">
      <c r="B35" s="527"/>
      <c r="C35" s="535"/>
      <c r="D35" s="536">
        <f>D34*180/PI()</f>
        <v>21.801409486351812</v>
      </c>
      <c r="E35" s="55" t="s">
        <v>110</v>
      </c>
      <c r="F35" s="150"/>
      <c r="G35" s="80">
        <f>$D$35</f>
        <v>21.801409486351812</v>
      </c>
      <c r="H35" s="80">
        <f>$D$35</f>
        <v>21.801409486351812</v>
      </c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93"/>
    </row>
    <row r="36" spans="2:21" x14ac:dyDescent="0.25">
      <c r="B36" s="527"/>
      <c r="C36" s="532" t="s">
        <v>104</v>
      </c>
      <c r="D36" s="537">
        <f>COS(D34)</f>
        <v>0.9284766908852593</v>
      </c>
      <c r="E36" s="528"/>
      <c r="F36" s="150"/>
      <c r="G36" s="80">
        <f>$D$35</f>
        <v>21.801409486351812</v>
      </c>
      <c r="H36" s="80">
        <f>$D$35</f>
        <v>21.801409486351812</v>
      </c>
      <c r="I36" s="531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93"/>
    </row>
    <row r="37" spans="2:21" x14ac:dyDescent="0.25">
      <c r="B37" s="527"/>
      <c r="C37" s="150"/>
      <c r="D37" s="150"/>
      <c r="E37" s="150"/>
      <c r="F37" s="150"/>
      <c r="G37" s="80">
        <f>$D$35</f>
        <v>21.801409486351812</v>
      </c>
      <c r="H37" s="80">
        <f>$D$35</f>
        <v>21.801409486351812</v>
      </c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93"/>
    </row>
    <row r="38" spans="2:21" x14ac:dyDescent="0.25">
      <c r="B38" s="527"/>
      <c r="C38" s="150"/>
      <c r="D38" s="150"/>
      <c r="E38" s="150"/>
      <c r="F38" s="150"/>
      <c r="G38" s="390">
        <f>$D$35</f>
        <v>21.801409486351812</v>
      </c>
      <c r="H38" s="390">
        <f>$D$35</f>
        <v>21.801409486351812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93"/>
    </row>
    <row r="39" spans="2:21" x14ac:dyDescent="0.25">
      <c r="B39" s="527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93"/>
    </row>
    <row r="40" spans="2:21" ht="15.75" thickBot="1" x14ac:dyDescent="0.3">
      <c r="B40" s="538"/>
      <c r="C40" s="539"/>
      <c r="D40" s="539"/>
      <c r="E40" s="539"/>
      <c r="F40" s="539"/>
      <c r="G40" s="539"/>
      <c r="H40" s="539"/>
      <c r="I40" s="540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41"/>
    </row>
    <row r="41" spans="2:21" x14ac:dyDescent="0.25">
      <c r="B41" s="524"/>
      <c r="C41" s="525"/>
      <c r="D41" s="525"/>
      <c r="E41" s="525"/>
      <c r="F41" s="525"/>
      <c r="G41" s="525"/>
      <c r="H41" s="525"/>
      <c r="I41" s="542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6"/>
    </row>
    <row r="42" spans="2:21" x14ac:dyDescent="0.25">
      <c r="B42" s="527"/>
      <c r="C42" s="382" t="s">
        <v>466</v>
      </c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150"/>
      <c r="T42" s="150"/>
      <c r="U42" s="93"/>
    </row>
    <row r="43" spans="2:21" x14ac:dyDescent="0.25">
      <c r="B43" s="527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150"/>
      <c r="T43" s="150"/>
      <c r="U43" s="93"/>
    </row>
    <row r="44" spans="2:21" x14ac:dyDescent="0.25">
      <c r="B44" s="527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93"/>
    </row>
    <row r="45" spans="2:21" x14ac:dyDescent="0.25">
      <c r="B45" s="527"/>
      <c r="C45" s="293" t="s">
        <v>22</v>
      </c>
      <c r="D45" s="221" t="s">
        <v>53</v>
      </c>
      <c r="E45" s="150"/>
      <c r="F45" s="250" t="s">
        <v>265</v>
      </c>
      <c r="G45" s="250"/>
      <c r="H45" s="250"/>
      <c r="I45" s="250"/>
      <c r="J45" s="250"/>
      <c r="K45" s="150"/>
      <c r="L45" s="543"/>
      <c r="M45" s="543" t="s">
        <v>107</v>
      </c>
      <c r="N45" s="544" t="s">
        <v>266</v>
      </c>
      <c r="O45" s="544"/>
      <c r="P45" s="150"/>
      <c r="Q45" s="150"/>
      <c r="R45" s="150"/>
      <c r="S45" s="150"/>
      <c r="T45" s="150"/>
      <c r="U45" s="93"/>
    </row>
    <row r="46" spans="2:21" x14ac:dyDescent="0.25">
      <c r="B46" s="527"/>
      <c r="C46" s="383"/>
      <c r="D46" s="394" t="s">
        <v>106</v>
      </c>
      <c r="E46" s="150"/>
      <c r="F46" s="270" t="s">
        <v>22</v>
      </c>
      <c r="G46" s="270"/>
      <c r="H46" s="216" t="s">
        <v>262</v>
      </c>
      <c r="I46" s="216" t="s">
        <v>263</v>
      </c>
      <c r="J46" s="216" t="s">
        <v>264</v>
      </c>
      <c r="K46" s="150"/>
      <c r="L46" s="545" t="s">
        <v>248</v>
      </c>
      <c r="M46" s="545">
        <v>3</v>
      </c>
      <c r="N46" s="546">
        <f>D53*3</f>
        <v>9.6796030000000002</v>
      </c>
      <c r="O46" s="546"/>
      <c r="P46" s="150"/>
      <c r="Q46" s="150"/>
      <c r="R46" s="150"/>
      <c r="S46" s="150"/>
      <c r="T46" s="150"/>
      <c r="U46" s="93"/>
    </row>
    <row r="47" spans="2:21" x14ac:dyDescent="0.25">
      <c r="B47" s="527"/>
      <c r="C47" s="376" t="str">
        <f>I9</f>
        <v>Techo</v>
      </c>
      <c r="D47" s="547">
        <f>J9/12</f>
        <v>1.5484566666666666</v>
      </c>
      <c r="E47" s="150"/>
      <c r="F47" s="548" t="s">
        <v>14</v>
      </c>
      <c r="G47" s="215" t="s">
        <v>248</v>
      </c>
      <c r="H47" s="162">
        <f>D47</f>
        <v>1.5484566666666666</v>
      </c>
      <c r="I47" s="161">
        <f>AVERAGE($H$48:$H$52)</f>
        <v>3.2265343333333334</v>
      </c>
      <c r="J47" s="161">
        <f>I47</f>
        <v>3.2265343333333334</v>
      </c>
      <c r="K47" s="150"/>
      <c r="L47" s="549" t="s">
        <v>249</v>
      </c>
      <c r="M47" s="549">
        <v>6</v>
      </c>
      <c r="N47" s="550">
        <f>D53*6</f>
        <v>19.359206</v>
      </c>
      <c r="O47" s="550"/>
      <c r="P47" s="150"/>
      <c r="Q47" s="150"/>
      <c r="R47" s="150"/>
      <c r="S47" s="150"/>
      <c r="T47" s="150"/>
      <c r="U47" s="93"/>
    </row>
    <row r="48" spans="2:21" x14ac:dyDescent="0.25">
      <c r="B48" s="527"/>
      <c r="C48" s="89" t="str">
        <f>I10</f>
        <v>Piso 6</v>
      </c>
      <c r="D48" s="551">
        <f>J10/12</f>
        <v>3.18988</v>
      </c>
      <c r="E48" s="150"/>
      <c r="F48" s="552" t="s">
        <v>147</v>
      </c>
      <c r="G48" s="214" t="s">
        <v>248</v>
      </c>
      <c r="H48" s="166">
        <f>D48</f>
        <v>3.18988</v>
      </c>
      <c r="I48" s="165">
        <f>AVERAGE($H$48:$H$52)</f>
        <v>3.2265343333333334</v>
      </c>
      <c r="J48" s="165">
        <f>J47+I48</f>
        <v>6.4530686666666668</v>
      </c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93"/>
    </row>
    <row r="49" spans="2:21" x14ac:dyDescent="0.25">
      <c r="B49" s="527"/>
      <c r="C49" s="89" t="str">
        <f>I11</f>
        <v>Piso 5</v>
      </c>
      <c r="D49" s="551">
        <f>J11/12</f>
        <v>3.2057566666666664</v>
      </c>
      <c r="E49" s="150"/>
      <c r="F49" s="553" t="s">
        <v>17</v>
      </c>
      <c r="G49" s="213" t="s">
        <v>248</v>
      </c>
      <c r="H49" s="554">
        <f>D49</f>
        <v>3.2057566666666664</v>
      </c>
      <c r="I49" s="173">
        <f>AVERAGE($H$48:$H$52)</f>
        <v>3.2265343333333334</v>
      </c>
      <c r="J49" s="180">
        <f>J48+I49</f>
        <v>9.6796030000000002</v>
      </c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93"/>
    </row>
    <row r="50" spans="2:21" x14ac:dyDescent="0.25">
      <c r="B50" s="527"/>
      <c r="C50" s="89" t="str">
        <f>I12</f>
        <v>Piso 4</v>
      </c>
      <c r="D50" s="551">
        <f>J12/12</f>
        <v>3.2316125000000002</v>
      </c>
      <c r="E50" s="150"/>
      <c r="F50" s="548" t="s">
        <v>18</v>
      </c>
      <c r="G50" s="215" t="s">
        <v>249</v>
      </c>
      <c r="H50" s="162">
        <f>D50</f>
        <v>3.2316125000000002</v>
      </c>
      <c r="I50" s="161">
        <f>AVERAGE($H$48:$H$52)</f>
        <v>3.2265343333333334</v>
      </c>
      <c r="J50" s="161">
        <f>J49+I50</f>
        <v>12.906137333333334</v>
      </c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93"/>
    </row>
    <row r="51" spans="2:21" x14ac:dyDescent="0.25">
      <c r="B51" s="527"/>
      <c r="C51" s="89" t="str">
        <f>I13</f>
        <v>Piso 3</v>
      </c>
      <c r="D51" s="551">
        <f>J13/12</f>
        <v>3.2511100000000002</v>
      </c>
      <c r="E51" s="150"/>
      <c r="F51" s="552" t="s">
        <v>19</v>
      </c>
      <c r="G51" s="214" t="s">
        <v>249</v>
      </c>
      <c r="H51" s="166">
        <f>D51</f>
        <v>3.2511100000000002</v>
      </c>
      <c r="I51" s="165">
        <f>AVERAGE($H$48:$H$52)</f>
        <v>3.2265343333333334</v>
      </c>
      <c r="J51" s="165">
        <f>J50+I51</f>
        <v>16.132671666666667</v>
      </c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93"/>
    </row>
    <row r="52" spans="2:21" x14ac:dyDescent="0.25">
      <c r="B52" s="527"/>
      <c r="C52" s="394" t="str">
        <f>I14</f>
        <v>Piso 2</v>
      </c>
      <c r="D52" s="555">
        <f>J14/12</f>
        <v>3.2543124999999997</v>
      </c>
      <c r="E52" s="150"/>
      <c r="F52" s="553" t="s">
        <v>16</v>
      </c>
      <c r="G52" s="213" t="s">
        <v>249</v>
      </c>
      <c r="H52" s="554">
        <f>D52</f>
        <v>3.2543124999999997</v>
      </c>
      <c r="I52" s="173">
        <f>AVERAGE($H$48:$H$52)</f>
        <v>3.2265343333333334</v>
      </c>
      <c r="J52" s="180">
        <f>J51+I52</f>
        <v>19.359206</v>
      </c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93"/>
    </row>
    <row r="53" spans="2:21" x14ac:dyDescent="0.25">
      <c r="B53" s="527"/>
      <c r="C53" s="394" t="s">
        <v>462</v>
      </c>
      <c r="D53" s="556">
        <f>AVERAGE(D48:D52)</f>
        <v>3.2265343333333334</v>
      </c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93"/>
    </row>
    <row r="54" spans="2:21" x14ac:dyDescent="0.25">
      <c r="B54" s="527"/>
      <c r="C54" s="89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93"/>
    </row>
    <row r="55" spans="2:21" x14ac:dyDescent="0.25">
      <c r="B55" s="527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93"/>
    </row>
    <row r="56" spans="2:21" x14ac:dyDescent="0.25">
      <c r="B56" s="527"/>
      <c r="C56" s="544" t="s">
        <v>469</v>
      </c>
      <c r="D56" s="544"/>
      <c r="E56" s="544"/>
      <c r="F56" s="544"/>
      <c r="G56" s="544"/>
      <c r="H56" s="544"/>
      <c r="I56" s="531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93"/>
    </row>
    <row r="57" spans="2:21" x14ac:dyDescent="0.25">
      <c r="B57" s="527"/>
      <c r="C57" s="543"/>
      <c r="D57" s="544" t="s">
        <v>12</v>
      </c>
      <c r="E57" s="544"/>
      <c r="F57" s="557" t="s">
        <v>13</v>
      </c>
      <c r="G57" s="557"/>
      <c r="H57" s="543"/>
      <c r="I57" s="384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93"/>
    </row>
    <row r="58" spans="2:21" x14ac:dyDescent="0.25">
      <c r="B58" s="527"/>
      <c r="C58" s="145" t="s">
        <v>470</v>
      </c>
      <c r="D58" s="558">
        <v>0.2</v>
      </c>
      <c r="E58" s="558"/>
      <c r="F58" s="558">
        <v>0.1</v>
      </c>
      <c r="G58" s="558"/>
      <c r="H58" s="124"/>
      <c r="I58" s="384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93"/>
    </row>
    <row r="59" spans="2:21" ht="13.5" customHeight="1" x14ac:dyDescent="0.25">
      <c r="B59" s="527"/>
      <c r="C59" s="145" t="s">
        <v>109</v>
      </c>
      <c r="D59" s="559">
        <f>T8</f>
        <v>3.2549999999999999</v>
      </c>
      <c r="E59" s="559"/>
      <c r="F59" s="559">
        <f>T9</f>
        <v>2.2320000000000002</v>
      </c>
      <c r="G59" s="559"/>
      <c r="H59" s="124"/>
      <c r="I59" s="384"/>
      <c r="J59" s="384"/>
      <c r="K59" s="384"/>
      <c r="L59" s="384"/>
      <c r="M59" s="384"/>
      <c r="N59" s="384"/>
      <c r="O59" s="194"/>
      <c r="P59" s="150"/>
      <c r="Q59" s="150"/>
      <c r="R59" s="150"/>
      <c r="S59" s="150"/>
      <c r="T59" s="150"/>
      <c r="U59" s="93"/>
    </row>
    <row r="60" spans="2:21" ht="13.5" customHeight="1" x14ac:dyDescent="0.25">
      <c r="B60" s="527"/>
      <c r="C60" s="145" t="s">
        <v>178</v>
      </c>
      <c r="D60" s="559">
        <v>4</v>
      </c>
      <c r="E60" s="559"/>
      <c r="F60" s="559">
        <v>4</v>
      </c>
      <c r="G60" s="559"/>
      <c r="H60" s="124"/>
      <c r="I60" s="384"/>
      <c r="J60" s="384"/>
      <c r="K60" s="384"/>
      <c r="L60" s="384"/>
      <c r="M60" s="384"/>
      <c r="N60" s="384"/>
      <c r="O60" s="194"/>
      <c r="P60" s="150"/>
      <c r="Q60" s="150"/>
      <c r="R60" s="150"/>
      <c r="S60" s="150"/>
      <c r="T60" s="150"/>
      <c r="U60" s="93"/>
    </row>
    <row r="61" spans="2:21" ht="13.5" customHeight="1" x14ac:dyDescent="0.25">
      <c r="B61" s="527"/>
      <c r="C61" s="145" t="s">
        <v>248</v>
      </c>
      <c r="D61" s="560">
        <f>((2*PI()/$D$59)*$D$58*(($M$46+1)/$D$60)*$N$46)/($D$36^2)</f>
        <v>4.3348533115060208</v>
      </c>
      <c r="E61" s="560"/>
      <c r="F61" s="560">
        <f>((2*PI()/$F$59)*$F$58*(($M$46+1)/$F$60)*$N$46)/($D$36^2)</f>
        <v>3.160830539639806</v>
      </c>
      <c r="G61" s="560"/>
      <c r="H61" s="561" t="s">
        <v>247</v>
      </c>
      <c r="I61" s="384"/>
      <c r="J61" s="384"/>
      <c r="K61" s="384"/>
      <c r="L61" s="384"/>
      <c r="M61" s="384"/>
      <c r="N61" s="384"/>
      <c r="O61" s="167"/>
      <c r="P61" s="150"/>
      <c r="Q61" s="150"/>
      <c r="R61" s="150"/>
      <c r="S61" s="150"/>
      <c r="T61" s="150"/>
      <c r="U61" s="93"/>
    </row>
    <row r="62" spans="2:21" ht="13.5" customHeight="1" x14ac:dyDescent="0.25">
      <c r="B62" s="527"/>
      <c r="C62" s="218" t="s">
        <v>249</v>
      </c>
      <c r="D62" s="562">
        <f>((2*PI()/$D$59)*$D$58*(($M$47+1)/$D$60)*$N$47)/($D$36^2)</f>
        <v>15.171986590271072</v>
      </c>
      <c r="E62" s="562"/>
      <c r="F62" s="562">
        <f>((2*PI()/$F$59)*$F$58*(($M$47+1)/$F$60)*$N$47)/($D$36^2)</f>
        <v>11.062906888739322</v>
      </c>
      <c r="G62" s="562"/>
      <c r="H62" s="563" t="s">
        <v>247</v>
      </c>
      <c r="I62" s="384"/>
      <c r="J62" s="384"/>
      <c r="K62" s="384"/>
      <c r="L62" s="384"/>
      <c r="M62" s="384"/>
      <c r="N62" s="384"/>
      <c r="O62" s="167"/>
      <c r="P62" s="150"/>
      <c r="Q62" s="150"/>
      <c r="R62" s="150"/>
      <c r="S62" s="150"/>
      <c r="T62" s="150"/>
      <c r="U62" s="93"/>
    </row>
    <row r="63" spans="2:21" ht="13.5" customHeight="1" x14ac:dyDescent="0.25">
      <c r="B63" s="527"/>
      <c r="C63" s="150"/>
      <c r="D63" s="150"/>
      <c r="E63" s="150"/>
      <c r="F63" s="150"/>
      <c r="G63" s="384"/>
      <c r="H63" s="384"/>
      <c r="I63" s="384"/>
      <c r="J63" s="384"/>
      <c r="K63" s="384"/>
      <c r="L63" s="384"/>
      <c r="M63" s="150"/>
      <c r="N63" s="150"/>
      <c r="O63" s="150"/>
      <c r="P63" s="150"/>
      <c r="Q63" s="150"/>
      <c r="R63" s="150"/>
      <c r="S63" s="150"/>
      <c r="T63" s="150"/>
      <c r="U63" s="93"/>
    </row>
    <row r="64" spans="2:21" ht="13.5" customHeight="1" thickBot="1" x14ac:dyDescent="0.3">
      <c r="B64" s="538"/>
      <c r="C64" s="539"/>
      <c r="D64" s="539"/>
      <c r="E64" s="539"/>
      <c r="F64" s="539"/>
      <c r="G64" s="564"/>
      <c r="H64" s="564"/>
      <c r="I64" s="564"/>
      <c r="J64" s="564"/>
      <c r="K64" s="564"/>
      <c r="L64" s="564"/>
      <c r="M64" s="539"/>
      <c r="N64" s="539"/>
      <c r="O64" s="539"/>
      <c r="P64" s="539"/>
      <c r="Q64" s="539"/>
      <c r="R64" s="539"/>
      <c r="S64" s="539"/>
      <c r="T64" s="539"/>
      <c r="U64" s="541"/>
    </row>
    <row r="65" spans="2:21" ht="13.5" customHeight="1" x14ac:dyDescent="0.25">
      <c r="B65" s="524"/>
      <c r="C65" s="525"/>
      <c r="D65" s="525"/>
      <c r="E65" s="525"/>
      <c r="F65" s="525"/>
      <c r="G65" s="565"/>
      <c r="H65" s="565"/>
      <c r="I65" s="565"/>
      <c r="J65" s="565"/>
      <c r="K65" s="565"/>
      <c r="L65" s="565"/>
      <c r="M65" s="525"/>
      <c r="N65" s="525"/>
      <c r="O65" s="525"/>
      <c r="P65" s="525"/>
      <c r="Q65" s="525"/>
      <c r="R65" s="525"/>
      <c r="S65" s="525"/>
      <c r="T65" s="525"/>
      <c r="U65" s="526"/>
    </row>
    <row r="66" spans="2:21" ht="13.5" customHeight="1" x14ac:dyDescent="0.25">
      <c r="B66" s="527"/>
      <c r="C66" s="382" t="s">
        <v>467</v>
      </c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150"/>
      <c r="T66" s="150"/>
      <c r="U66" s="93"/>
    </row>
    <row r="67" spans="2:21" ht="13.5" customHeight="1" x14ac:dyDescent="0.25">
      <c r="B67" s="527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150"/>
      <c r="T67" s="150"/>
      <c r="U67" s="93"/>
    </row>
    <row r="68" spans="2:21" ht="13.5" customHeight="1" x14ac:dyDescent="0.25">
      <c r="B68" s="527"/>
      <c r="C68" s="150"/>
      <c r="D68" s="150"/>
      <c r="E68" s="150"/>
      <c r="F68" s="150"/>
      <c r="G68" s="384"/>
      <c r="H68" s="384"/>
      <c r="I68" s="384"/>
      <c r="J68" s="384"/>
      <c r="K68" s="384"/>
      <c r="L68" s="384"/>
      <c r="M68" s="150"/>
      <c r="N68" s="150"/>
      <c r="O68" s="150"/>
      <c r="P68" s="150"/>
      <c r="Q68" s="150"/>
      <c r="R68" s="150"/>
      <c r="S68" s="150"/>
      <c r="T68" s="150"/>
      <c r="U68" s="93"/>
    </row>
    <row r="69" spans="2:21" ht="13.5" customHeight="1" x14ac:dyDescent="0.25">
      <c r="B69" s="527"/>
      <c r="C69" s="250" t="s">
        <v>383</v>
      </c>
      <c r="D69" s="250"/>
      <c r="E69" s="250"/>
      <c r="F69" s="250"/>
      <c r="G69" s="250"/>
      <c r="H69" s="250"/>
      <c r="I69" s="384"/>
      <c r="J69" s="384"/>
      <c r="K69" s="384"/>
      <c r="L69" s="384"/>
      <c r="M69" s="150"/>
      <c r="N69" s="150"/>
      <c r="O69" s="150"/>
      <c r="P69" s="150"/>
      <c r="Q69" s="150"/>
      <c r="R69" s="150"/>
      <c r="S69" s="150"/>
      <c r="T69" s="150"/>
      <c r="U69" s="93"/>
    </row>
    <row r="70" spans="2:21" ht="13.5" customHeight="1" x14ac:dyDescent="0.25">
      <c r="B70" s="527"/>
      <c r="C70" s="566" t="s">
        <v>22</v>
      </c>
      <c r="D70" s="567" t="s">
        <v>463</v>
      </c>
      <c r="E70" s="567"/>
      <c r="F70" s="150"/>
      <c r="G70" s="568" t="s">
        <v>468</v>
      </c>
      <c r="H70" s="568"/>
      <c r="I70" s="384"/>
      <c r="J70" s="384"/>
      <c r="K70" s="384"/>
      <c r="L70" s="384"/>
      <c r="M70" s="150"/>
      <c r="N70" s="150"/>
      <c r="O70" s="150"/>
      <c r="P70" s="150"/>
      <c r="Q70" s="150"/>
      <c r="R70" s="150"/>
      <c r="S70" s="150"/>
      <c r="T70" s="150"/>
      <c r="U70" s="93"/>
    </row>
    <row r="71" spans="2:21" ht="13.5" customHeight="1" x14ac:dyDescent="0.25">
      <c r="B71" s="527"/>
      <c r="C71" s="269"/>
      <c r="D71" s="216" t="s">
        <v>384</v>
      </c>
      <c r="E71" s="216" t="s">
        <v>382</v>
      </c>
      <c r="F71" s="223"/>
      <c r="G71" s="216" t="s">
        <v>384</v>
      </c>
      <c r="H71" s="216" t="s">
        <v>382</v>
      </c>
      <c r="I71" s="384"/>
      <c r="J71" s="384"/>
      <c r="K71" s="384"/>
      <c r="L71" s="384"/>
      <c r="M71" s="150"/>
      <c r="N71" s="150"/>
      <c r="O71" s="150"/>
      <c r="P71" s="150"/>
      <c r="Q71" s="150"/>
      <c r="R71" s="150"/>
      <c r="S71" s="150"/>
      <c r="T71" s="150"/>
      <c r="U71" s="93"/>
    </row>
    <row r="72" spans="2:21" ht="13.5" customHeight="1" x14ac:dyDescent="0.25">
      <c r="B72" s="527"/>
      <c r="C72" s="230" t="s">
        <v>14</v>
      </c>
      <c r="D72" s="167">
        <f>D61</f>
        <v>4.3348533115060208</v>
      </c>
      <c r="E72" s="167">
        <f>F61</f>
        <v>3.160830539639806</v>
      </c>
      <c r="F72" s="167"/>
      <c r="G72" s="956">
        <v>8</v>
      </c>
      <c r="H72" s="956">
        <v>10</v>
      </c>
      <c r="I72" s="384"/>
      <c r="J72" s="384"/>
      <c r="K72" s="384"/>
      <c r="L72" s="384"/>
      <c r="M72" s="150"/>
      <c r="N72" s="150"/>
      <c r="O72" s="150"/>
      <c r="P72" s="150"/>
      <c r="Q72" s="150"/>
      <c r="R72" s="150"/>
      <c r="S72" s="150"/>
      <c r="T72" s="150"/>
      <c r="U72" s="93"/>
    </row>
    <row r="73" spans="2:21" ht="13.5" customHeight="1" x14ac:dyDescent="0.25">
      <c r="B73" s="527"/>
      <c r="C73" s="230" t="s">
        <v>147</v>
      </c>
      <c r="D73" s="167">
        <f>D61</f>
        <v>4.3348533115060208</v>
      </c>
      <c r="E73" s="167">
        <f>F61</f>
        <v>3.160830539639806</v>
      </c>
      <c r="F73" s="167"/>
      <c r="G73" s="956">
        <v>8</v>
      </c>
      <c r="H73" s="956">
        <v>10</v>
      </c>
      <c r="I73" s="384"/>
      <c r="J73" s="384"/>
      <c r="K73" s="384"/>
      <c r="L73" s="384"/>
      <c r="M73" s="150"/>
      <c r="N73" s="150"/>
      <c r="O73" s="150"/>
      <c r="P73" s="150"/>
      <c r="Q73" s="150"/>
      <c r="R73" s="150"/>
      <c r="S73" s="150"/>
      <c r="T73" s="150"/>
      <c r="U73" s="93"/>
    </row>
    <row r="74" spans="2:21" ht="13.5" customHeight="1" x14ac:dyDescent="0.25">
      <c r="B74" s="527"/>
      <c r="C74" s="230" t="s">
        <v>17</v>
      </c>
      <c r="D74" s="167">
        <f>D61</f>
        <v>4.3348533115060208</v>
      </c>
      <c r="E74" s="167">
        <f>F61</f>
        <v>3.160830539639806</v>
      </c>
      <c r="F74" s="167"/>
      <c r="G74" s="956">
        <v>8</v>
      </c>
      <c r="H74" s="956">
        <v>10</v>
      </c>
      <c r="I74" s="384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93"/>
    </row>
    <row r="75" spans="2:21" ht="13.5" customHeight="1" x14ac:dyDescent="0.25">
      <c r="B75" s="527"/>
      <c r="C75" s="230" t="s">
        <v>18</v>
      </c>
      <c r="D75" s="167">
        <f>D62</f>
        <v>15.171986590271072</v>
      </c>
      <c r="E75" s="167">
        <f>F62</f>
        <v>11.062906888739322</v>
      </c>
      <c r="F75" s="167"/>
      <c r="G75" s="956">
        <v>17</v>
      </c>
      <c r="H75" s="956">
        <v>20</v>
      </c>
      <c r="I75" s="384"/>
      <c r="J75" s="150"/>
      <c r="K75" s="150"/>
      <c r="L75" s="150"/>
      <c r="M75" s="150"/>
      <c r="N75" s="150"/>
      <c r="O75" s="150"/>
      <c r="P75" s="384"/>
      <c r="Q75" s="384"/>
      <c r="R75" s="150"/>
      <c r="S75" s="150"/>
      <c r="T75" s="150"/>
      <c r="U75" s="93"/>
    </row>
    <row r="76" spans="2:21" x14ac:dyDescent="0.25">
      <c r="B76" s="527"/>
      <c r="C76" s="230" t="s">
        <v>19</v>
      </c>
      <c r="D76" s="167">
        <f>D62</f>
        <v>15.171986590271072</v>
      </c>
      <c r="E76" s="167">
        <f>F62</f>
        <v>11.062906888739322</v>
      </c>
      <c r="F76" s="167"/>
      <c r="G76" s="956">
        <v>17</v>
      </c>
      <c r="H76" s="956">
        <v>20</v>
      </c>
      <c r="I76" s="384"/>
      <c r="J76" s="150"/>
      <c r="K76" s="150"/>
      <c r="L76" s="150"/>
      <c r="M76" s="150"/>
      <c r="N76" s="150"/>
      <c r="O76" s="150"/>
      <c r="P76" s="384"/>
      <c r="Q76" s="384"/>
      <c r="R76" s="150"/>
      <c r="S76" s="150"/>
      <c r="T76" s="150"/>
      <c r="U76" s="93"/>
    </row>
    <row r="77" spans="2:21" x14ac:dyDescent="0.25">
      <c r="B77" s="527"/>
      <c r="C77" s="231" t="s">
        <v>16</v>
      </c>
      <c r="D77" s="569">
        <f>D62</f>
        <v>15.171986590271072</v>
      </c>
      <c r="E77" s="569">
        <f>F62</f>
        <v>11.062906888739322</v>
      </c>
      <c r="F77" s="569"/>
      <c r="G77" s="957">
        <v>17</v>
      </c>
      <c r="H77" s="957">
        <v>20</v>
      </c>
      <c r="I77" s="384"/>
      <c r="J77" s="150"/>
      <c r="K77" s="150"/>
      <c r="L77" s="150"/>
      <c r="M77" s="150"/>
      <c r="N77" s="150"/>
      <c r="O77" s="150"/>
      <c r="P77" s="384"/>
      <c r="Q77" s="384"/>
      <c r="R77" s="150"/>
      <c r="S77" s="150"/>
      <c r="T77" s="150"/>
      <c r="U77" s="93"/>
    </row>
    <row r="78" spans="2:21" x14ac:dyDescent="0.25">
      <c r="B78" s="527"/>
      <c r="C78" s="384"/>
      <c r="D78" s="384"/>
      <c r="E78" s="384"/>
      <c r="F78" s="150"/>
      <c r="G78" s="150"/>
      <c r="H78" s="150"/>
      <c r="I78" s="384"/>
      <c r="J78" s="150"/>
      <c r="K78" s="150"/>
      <c r="L78" s="150"/>
      <c r="M78" s="150"/>
      <c r="N78" s="150"/>
      <c r="O78" s="150"/>
      <c r="P78" s="384"/>
      <c r="Q78" s="384"/>
      <c r="R78" s="150"/>
      <c r="S78" s="150"/>
      <c r="T78" s="150"/>
      <c r="U78" s="93"/>
    </row>
    <row r="79" spans="2:21" x14ac:dyDescent="0.25">
      <c r="B79" s="527"/>
      <c r="C79" s="150"/>
      <c r="D79" s="150"/>
      <c r="E79" s="150"/>
      <c r="F79" s="150"/>
      <c r="G79" s="384"/>
      <c r="H79" s="384"/>
      <c r="I79" s="384"/>
      <c r="J79" s="150"/>
      <c r="K79" s="150"/>
      <c r="L79" s="150"/>
      <c r="M79" s="150"/>
      <c r="N79" s="150"/>
      <c r="O79" s="150"/>
      <c r="P79" s="384"/>
      <c r="Q79" s="384"/>
      <c r="R79" s="150"/>
      <c r="S79" s="150"/>
      <c r="T79" s="150"/>
      <c r="U79" s="93"/>
    </row>
    <row r="80" spans="2:21" x14ac:dyDescent="0.25">
      <c r="B80" s="527"/>
      <c r="C80" s="222" t="s">
        <v>22</v>
      </c>
      <c r="D80" s="270" t="s">
        <v>267</v>
      </c>
      <c r="E80" s="270"/>
      <c r="F80" s="222"/>
      <c r="G80" s="270" t="s">
        <v>179</v>
      </c>
      <c r="H80" s="270"/>
      <c r="I80" s="222"/>
      <c r="J80" s="270" t="s">
        <v>180</v>
      </c>
      <c r="K80" s="270"/>
      <c r="L80" s="222"/>
      <c r="M80" s="270" t="s">
        <v>181</v>
      </c>
      <c r="N80" s="270"/>
      <c r="O80" s="150"/>
      <c r="P80" s="384"/>
      <c r="Q80" s="384"/>
      <c r="R80" s="150"/>
      <c r="S80" s="150"/>
      <c r="T80" s="150"/>
      <c r="U80" s="93"/>
    </row>
    <row r="81" spans="2:21" x14ac:dyDescent="0.25">
      <c r="B81" s="527"/>
      <c r="C81" s="223"/>
      <c r="D81" s="223" t="s">
        <v>12</v>
      </c>
      <c r="E81" s="223" t="s">
        <v>13</v>
      </c>
      <c r="F81" s="223"/>
      <c r="G81" s="223" t="s">
        <v>12</v>
      </c>
      <c r="H81" s="223" t="s">
        <v>13</v>
      </c>
      <c r="I81" s="223"/>
      <c r="J81" s="223" t="s">
        <v>12</v>
      </c>
      <c r="K81" s="223" t="s">
        <v>13</v>
      </c>
      <c r="L81" s="223"/>
      <c r="M81" s="223" t="s">
        <v>12</v>
      </c>
      <c r="N81" s="223" t="s">
        <v>13</v>
      </c>
      <c r="O81" s="150"/>
      <c r="P81" s="384"/>
      <c r="Q81" s="384"/>
      <c r="R81" s="150"/>
      <c r="S81" s="150"/>
      <c r="T81" s="150"/>
      <c r="U81" s="93"/>
    </row>
    <row r="82" spans="2:21" x14ac:dyDescent="0.25">
      <c r="B82" s="527"/>
      <c r="C82" s="230" t="s">
        <v>14</v>
      </c>
      <c r="D82" s="164">
        <f>G72</f>
        <v>8</v>
      </c>
      <c r="E82" s="164">
        <f>H72</f>
        <v>10</v>
      </c>
      <c r="F82" s="164"/>
      <c r="G82" s="570">
        <f>D82*COS(RADIANS(G33))^2</f>
        <v>6.8965517241379306</v>
      </c>
      <c r="H82" s="570">
        <f>E82*COS(RADIANS(H33))^2</f>
        <v>8.6206896551724128</v>
      </c>
      <c r="I82" s="570"/>
      <c r="J82" s="124">
        <f>$D$60</f>
        <v>4</v>
      </c>
      <c r="K82" s="124">
        <f>$F$60</f>
        <v>4</v>
      </c>
      <c r="L82" s="124"/>
      <c r="M82" s="571">
        <f t="shared" ref="M82:N87" si="0">J82*G82</f>
        <v>27.586206896551722</v>
      </c>
      <c r="N82" s="571">
        <f t="shared" si="0"/>
        <v>34.482758620689651</v>
      </c>
      <c r="O82" s="150"/>
      <c r="P82" s="150"/>
      <c r="Q82" s="150"/>
      <c r="R82" s="150"/>
      <c r="S82" s="150"/>
      <c r="T82" s="150"/>
      <c r="U82" s="93"/>
    </row>
    <row r="83" spans="2:21" x14ac:dyDescent="0.25">
      <c r="B83" s="527"/>
      <c r="C83" s="230" t="s">
        <v>147</v>
      </c>
      <c r="D83" s="164">
        <f>G73</f>
        <v>8</v>
      </c>
      <c r="E83" s="164">
        <f>H73</f>
        <v>10</v>
      </c>
      <c r="F83" s="164"/>
      <c r="G83" s="570">
        <f>D83*COS(RADIANS(G34))^2</f>
        <v>6.8965517241379306</v>
      </c>
      <c r="H83" s="570">
        <f>E83*COS(RADIANS(H34))^2</f>
        <v>8.6206896551724128</v>
      </c>
      <c r="I83" s="570"/>
      <c r="J83" s="124">
        <f>$D$60</f>
        <v>4</v>
      </c>
      <c r="K83" s="124">
        <f>$F$60</f>
        <v>4</v>
      </c>
      <c r="L83" s="124"/>
      <c r="M83" s="571">
        <f t="shared" si="0"/>
        <v>27.586206896551722</v>
      </c>
      <c r="N83" s="571">
        <f t="shared" si="0"/>
        <v>34.482758620689651</v>
      </c>
      <c r="O83" s="150"/>
      <c r="P83" s="150"/>
      <c r="Q83" s="150"/>
      <c r="R83" s="150"/>
      <c r="S83" s="150"/>
      <c r="T83" s="150"/>
      <c r="U83" s="93"/>
    </row>
    <row r="84" spans="2:21" x14ac:dyDescent="0.25">
      <c r="B84" s="527"/>
      <c r="C84" s="230" t="s">
        <v>17</v>
      </c>
      <c r="D84" s="164">
        <f>G74</f>
        <v>8</v>
      </c>
      <c r="E84" s="164">
        <f>H74</f>
        <v>10</v>
      </c>
      <c r="F84" s="164"/>
      <c r="G84" s="570">
        <f>D84*COS(RADIANS(G35))^2</f>
        <v>6.8965517241379306</v>
      </c>
      <c r="H84" s="570">
        <f>E84*COS(RADIANS(H35))^2</f>
        <v>8.6206896551724128</v>
      </c>
      <c r="I84" s="570"/>
      <c r="J84" s="124">
        <f>$D$60</f>
        <v>4</v>
      </c>
      <c r="K84" s="124">
        <f>$F$60</f>
        <v>4</v>
      </c>
      <c r="L84" s="124"/>
      <c r="M84" s="571">
        <f t="shared" si="0"/>
        <v>27.586206896551722</v>
      </c>
      <c r="N84" s="571">
        <f t="shared" si="0"/>
        <v>34.482758620689651</v>
      </c>
      <c r="O84" s="150"/>
      <c r="P84" s="150"/>
      <c r="Q84" s="150"/>
      <c r="R84" s="150"/>
      <c r="S84" s="150"/>
      <c r="T84" s="150"/>
      <c r="U84" s="93"/>
    </row>
    <row r="85" spans="2:21" x14ac:dyDescent="0.25">
      <c r="B85" s="527"/>
      <c r="C85" s="230" t="s">
        <v>18</v>
      </c>
      <c r="D85" s="164">
        <f>G75</f>
        <v>17</v>
      </c>
      <c r="E85" s="164">
        <f>H75</f>
        <v>20</v>
      </c>
      <c r="F85" s="164"/>
      <c r="G85" s="570">
        <f>D85*COS(RADIANS(G36))^2</f>
        <v>14.655172413793103</v>
      </c>
      <c r="H85" s="570">
        <f>E85*COS(RADIANS(H36))^2</f>
        <v>17.241379310344826</v>
      </c>
      <c r="I85" s="570"/>
      <c r="J85" s="124">
        <f>$D$60</f>
        <v>4</v>
      </c>
      <c r="K85" s="124">
        <f>$F$60</f>
        <v>4</v>
      </c>
      <c r="L85" s="124"/>
      <c r="M85" s="571">
        <f t="shared" si="0"/>
        <v>58.620689655172413</v>
      </c>
      <c r="N85" s="571">
        <f t="shared" si="0"/>
        <v>68.965517241379303</v>
      </c>
      <c r="O85" s="150"/>
      <c r="P85" s="150"/>
      <c r="Q85" s="150"/>
      <c r="R85" s="150"/>
      <c r="S85" s="150"/>
      <c r="T85" s="150"/>
      <c r="U85" s="93"/>
    </row>
    <row r="86" spans="2:21" ht="15" customHeight="1" x14ac:dyDescent="0.25">
      <c r="B86" s="527"/>
      <c r="C86" s="230" t="s">
        <v>19</v>
      </c>
      <c r="D86" s="164">
        <f>G76</f>
        <v>17</v>
      </c>
      <c r="E86" s="164">
        <f>H76</f>
        <v>20</v>
      </c>
      <c r="F86" s="164"/>
      <c r="G86" s="570">
        <f>D86*COS(RADIANS(G37))^2</f>
        <v>14.655172413793103</v>
      </c>
      <c r="H86" s="570">
        <f>E86*COS(RADIANS(H37))^2</f>
        <v>17.241379310344826</v>
      </c>
      <c r="I86" s="570"/>
      <c r="J86" s="124">
        <f>$D$60</f>
        <v>4</v>
      </c>
      <c r="K86" s="124">
        <f>$F$60</f>
        <v>4</v>
      </c>
      <c r="L86" s="124"/>
      <c r="M86" s="571">
        <f t="shared" si="0"/>
        <v>58.620689655172413</v>
      </c>
      <c r="N86" s="571">
        <f t="shared" si="0"/>
        <v>68.965517241379303</v>
      </c>
      <c r="O86" s="150"/>
      <c r="P86" s="150"/>
      <c r="Q86" s="150"/>
      <c r="R86" s="150"/>
      <c r="S86" s="150"/>
      <c r="T86" s="150"/>
      <c r="U86" s="93"/>
    </row>
    <row r="87" spans="2:21" ht="15" customHeight="1" x14ac:dyDescent="0.25">
      <c r="B87" s="527"/>
      <c r="C87" s="231" t="s">
        <v>16</v>
      </c>
      <c r="D87" s="572">
        <f>G77</f>
        <v>17</v>
      </c>
      <c r="E87" s="572">
        <f>H77</f>
        <v>20</v>
      </c>
      <c r="F87" s="572"/>
      <c r="G87" s="573">
        <f>D87*COS(RADIANS(G38))^2</f>
        <v>14.655172413793103</v>
      </c>
      <c r="H87" s="573">
        <f>E87*COS(RADIANS(H38))^2</f>
        <v>17.241379310344826</v>
      </c>
      <c r="I87" s="573"/>
      <c r="J87" s="125">
        <f>$D$60</f>
        <v>4</v>
      </c>
      <c r="K87" s="124">
        <f>$F$60</f>
        <v>4</v>
      </c>
      <c r="L87" s="125"/>
      <c r="M87" s="574">
        <f t="shared" si="0"/>
        <v>58.620689655172413</v>
      </c>
      <c r="N87" s="574">
        <f t="shared" si="0"/>
        <v>68.965517241379303</v>
      </c>
      <c r="O87" s="150"/>
      <c r="P87" s="150"/>
      <c r="Q87" s="150"/>
      <c r="R87" s="150"/>
      <c r="S87" s="150"/>
      <c r="T87" s="150"/>
      <c r="U87" s="93"/>
    </row>
    <row r="88" spans="2:21" ht="15" customHeight="1" x14ac:dyDescent="0.25">
      <c r="B88" s="527"/>
      <c r="C88" s="150"/>
      <c r="D88" s="150"/>
      <c r="E88" s="150"/>
      <c r="F88" s="150"/>
      <c r="G88" s="150"/>
      <c r="H88" s="150"/>
      <c r="I88" s="150"/>
      <c r="J88" s="150"/>
      <c r="K88" s="575"/>
      <c r="L88" s="150"/>
      <c r="M88" s="150"/>
      <c r="N88" s="150"/>
      <c r="O88" s="150"/>
      <c r="P88" s="150"/>
      <c r="Q88" s="150"/>
      <c r="R88" s="150"/>
      <c r="S88" s="150"/>
      <c r="T88" s="150"/>
      <c r="U88" s="93"/>
    </row>
    <row r="89" spans="2:21" ht="15" customHeight="1" thickBot="1" x14ac:dyDescent="0.3">
      <c r="B89" s="538"/>
      <c r="C89" s="539"/>
      <c r="D89" s="539"/>
      <c r="E89" s="539"/>
      <c r="F89" s="539"/>
      <c r="G89" s="539"/>
      <c r="H89" s="539"/>
      <c r="I89" s="539"/>
      <c r="J89" s="539"/>
      <c r="K89" s="539"/>
      <c r="L89" s="539"/>
      <c r="M89" s="539"/>
      <c r="N89" s="539"/>
      <c r="O89" s="539"/>
      <c r="P89" s="539"/>
      <c r="Q89" s="539"/>
      <c r="R89" s="539"/>
      <c r="S89" s="539"/>
      <c r="T89" s="539"/>
      <c r="U89" s="541"/>
    </row>
    <row r="90" spans="2:21" ht="15" customHeight="1" x14ac:dyDescent="0.25"/>
    <row r="91" spans="2:21" ht="15" customHeight="1" x14ac:dyDescent="0.25"/>
    <row r="92" spans="2:21" ht="15" customHeight="1" x14ac:dyDescent="0.25"/>
    <row r="93" spans="2:21" ht="15" customHeight="1" x14ac:dyDescent="0.25"/>
    <row r="102" spans="20:20" x14ac:dyDescent="0.25">
      <c r="T102" s="347"/>
    </row>
  </sheetData>
  <sheetProtection algorithmName="SHA-512" hashValue="8IoxWJVQYd3GHx9gkWrDCxiSSyTRQ+Apms0AXRuSfUeYf9ow3k/CkAWGGlujsrqXKn6VgaArmxLSgGGcwqpe3Q==" saltValue="lRTHksIkxWvxSF4Nj8N/5A==" spinCount="100000" sheet="1" objects="1" scenarios="1"/>
  <mergeCells count="62">
    <mergeCell ref="F62:G62"/>
    <mergeCell ref="D62:E62"/>
    <mergeCell ref="F57:G57"/>
    <mergeCell ref="D58:E58"/>
    <mergeCell ref="D59:E59"/>
    <mergeCell ref="D60:E60"/>
    <mergeCell ref="D61:E61"/>
    <mergeCell ref="F58:G58"/>
    <mergeCell ref="F59:G59"/>
    <mergeCell ref="F60:G60"/>
    <mergeCell ref="F61:G61"/>
    <mergeCell ref="N46:O46"/>
    <mergeCell ref="N47:O47"/>
    <mergeCell ref="C28:R29"/>
    <mergeCell ref="C42:R43"/>
    <mergeCell ref="F15:G15"/>
    <mergeCell ref="F16:G16"/>
    <mergeCell ref="F19:G19"/>
    <mergeCell ref="O13:Q13"/>
    <mergeCell ref="B3:U3"/>
    <mergeCell ref="I6:I8"/>
    <mergeCell ref="J6:L6"/>
    <mergeCell ref="C45:C46"/>
    <mergeCell ref="C31:E31"/>
    <mergeCell ref="C17:E18"/>
    <mergeCell ref="C34:C35"/>
    <mergeCell ref="C20:E20"/>
    <mergeCell ref="B25:U26"/>
    <mergeCell ref="S6:T6"/>
    <mergeCell ref="C11:E11"/>
    <mergeCell ref="C12:E12"/>
    <mergeCell ref="C14:E14"/>
    <mergeCell ref="C8:E8"/>
    <mergeCell ref="C9:E9"/>
    <mergeCell ref="C10:E10"/>
    <mergeCell ref="F7:G7"/>
    <mergeCell ref="F8:G8"/>
    <mergeCell ref="F9:G9"/>
    <mergeCell ref="F10:G11"/>
    <mergeCell ref="F14:G14"/>
    <mergeCell ref="F13:G13"/>
    <mergeCell ref="G31:H31"/>
    <mergeCell ref="C6:G6"/>
    <mergeCell ref="O6:Q6"/>
    <mergeCell ref="C7:E7"/>
    <mergeCell ref="C19:E19"/>
    <mergeCell ref="C15:E15"/>
    <mergeCell ref="C16:E16"/>
    <mergeCell ref="F46:G46"/>
    <mergeCell ref="F45:J45"/>
    <mergeCell ref="N45:O45"/>
    <mergeCell ref="M80:N80"/>
    <mergeCell ref="C70:C71"/>
    <mergeCell ref="G70:H70"/>
    <mergeCell ref="C69:H69"/>
    <mergeCell ref="D70:E70"/>
    <mergeCell ref="C66:R67"/>
    <mergeCell ref="D80:E80"/>
    <mergeCell ref="G80:H80"/>
    <mergeCell ref="J80:K80"/>
    <mergeCell ref="C56:H56"/>
    <mergeCell ref="D57:E57"/>
  </mergeCells>
  <pageMargins left="0.7" right="0.7" top="0.75" bottom="0.75" header="0.3" footer="0.3"/>
  <ignoredErrors>
    <ignoredError sqref="H61:H62" numberStoredAsText="1"/>
    <ignoredError sqref="G20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'3. Fuerzas Laterales Equiv.'!#REF!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87"/>
  <sheetViews>
    <sheetView topLeftCell="A262" zoomScale="75" zoomScaleNormal="75" workbookViewId="0">
      <selection activeCell="M299" sqref="M299"/>
    </sheetView>
  </sheetViews>
  <sheetFormatPr defaultColWidth="11.5703125" defaultRowHeight="15" x14ac:dyDescent="0.25"/>
  <cols>
    <col min="1" max="1" width="4.42578125" style="1" customWidth="1"/>
    <col min="2" max="2" width="6.42578125" style="13" customWidth="1"/>
    <col min="3" max="7" width="10.5703125" style="13" customWidth="1"/>
    <col min="8" max="9" width="10.5703125" style="883" customWidth="1"/>
    <col min="10" max="12" width="10.5703125" style="13" customWidth="1"/>
    <col min="13" max="13" width="10.5703125" style="883" customWidth="1"/>
    <col min="14" max="18" width="10.5703125" style="13" customWidth="1"/>
    <col min="19" max="20" width="10.5703125" style="1" customWidth="1"/>
    <col min="21" max="21" width="6.140625" style="1" customWidth="1"/>
    <col min="22" max="23" width="10.5703125" style="1" customWidth="1"/>
    <col min="24" max="25" width="9.140625" style="1" customWidth="1"/>
    <col min="26" max="26" width="8.85546875" style="1" customWidth="1"/>
    <col min="27" max="16384" width="11.5703125" style="13"/>
  </cols>
  <sheetData>
    <row r="1" spans="2:21" ht="15.75" thickBot="1" x14ac:dyDescent="0.3">
      <c r="B1" s="1"/>
      <c r="C1" s="1"/>
      <c r="D1" s="1"/>
      <c r="E1" s="1"/>
      <c r="F1" s="1"/>
      <c r="G1" s="1"/>
      <c r="H1" s="576"/>
      <c r="I1" s="576"/>
      <c r="J1" s="1"/>
      <c r="K1" s="1"/>
      <c r="L1" s="1"/>
      <c r="M1" s="576"/>
      <c r="N1" s="1"/>
      <c r="O1" s="1"/>
      <c r="P1" s="1"/>
      <c r="Q1" s="1"/>
      <c r="R1" s="1"/>
    </row>
    <row r="2" spans="2:21" ht="21.75" thickBot="1" x14ac:dyDescent="0.3">
      <c r="B2" s="396" t="s">
        <v>452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8"/>
    </row>
    <row r="3" spans="2:21" x14ac:dyDescent="0.25">
      <c r="B3" s="10"/>
      <c r="C3" s="3"/>
      <c r="D3" s="3"/>
      <c r="E3" s="3"/>
      <c r="F3" s="3"/>
      <c r="G3" s="3"/>
      <c r="H3" s="82"/>
      <c r="I3" s="82"/>
      <c r="J3" s="3"/>
      <c r="K3" s="3"/>
      <c r="L3" s="3"/>
      <c r="M3" s="82"/>
      <c r="N3" s="3"/>
      <c r="O3" s="3"/>
      <c r="P3" s="3"/>
      <c r="Q3" s="3"/>
      <c r="R3" s="3"/>
      <c r="S3" s="3"/>
      <c r="T3" s="3"/>
      <c r="U3" s="11"/>
    </row>
    <row r="4" spans="2:21" ht="15.75" thickBot="1" x14ac:dyDescent="0.3">
      <c r="B4" s="10"/>
      <c r="C4" s="3"/>
      <c r="D4" s="3"/>
      <c r="E4" s="3"/>
      <c r="F4" s="3"/>
      <c r="G4" s="3"/>
      <c r="H4" s="82"/>
      <c r="I4" s="82"/>
      <c r="J4" s="3"/>
      <c r="K4" s="3"/>
      <c r="L4" s="3"/>
      <c r="M4" s="82"/>
      <c r="N4" s="12"/>
      <c r="O4" s="12"/>
      <c r="P4" s="12"/>
      <c r="Q4" s="12"/>
      <c r="R4" s="3"/>
      <c r="S4" s="3"/>
      <c r="T4" s="3"/>
      <c r="U4" s="11"/>
    </row>
    <row r="5" spans="2:21" ht="21.75" thickBot="1" x14ac:dyDescent="0.4">
      <c r="B5" s="10"/>
      <c r="C5" s="354" t="s">
        <v>66</v>
      </c>
      <c r="D5" s="355"/>
      <c r="E5" s="355"/>
      <c r="F5" s="355"/>
      <c r="G5" s="356"/>
      <c r="H5" s="82"/>
      <c r="I5" s="452" t="s">
        <v>133</v>
      </c>
      <c r="J5" s="453" t="s">
        <v>86</v>
      </c>
      <c r="K5" s="454"/>
      <c r="L5" s="455"/>
      <c r="M5" s="456" t="s">
        <v>69</v>
      </c>
      <c r="N5" s="3"/>
      <c r="O5" s="476" t="s">
        <v>454</v>
      </c>
      <c r="P5" s="477"/>
      <c r="Q5" s="478"/>
      <c r="R5" s="3"/>
      <c r="S5" s="467" t="s">
        <v>85</v>
      </c>
      <c r="T5" s="468"/>
      <c r="U5" s="11"/>
    </row>
    <row r="6" spans="2:21" ht="15.75" thickBot="1" x14ac:dyDescent="0.3">
      <c r="B6" s="10"/>
      <c r="C6" s="295" t="s">
        <v>57</v>
      </c>
      <c r="D6" s="296"/>
      <c r="E6" s="297"/>
      <c r="F6" s="106">
        <f>'2. Propiedades de Disipador'!F7</f>
        <v>8</v>
      </c>
      <c r="G6" s="107"/>
      <c r="H6" s="82"/>
      <c r="I6" s="457"/>
      <c r="J6" s="458" t="s">
        <v>90</v>
      </c>
      <c r="K6" s="459" t="s">
        <v>87</v>
      </c>
      <c r="L6" s="460" t="s">
        <v>88</v>
      </c>
      <c r="M6" s="461" t="s">
        <v>89</v>
      </c>
      <c r="N6" s="3"/>
      <c r="O6" s="321" t="s">
        <v>134</v>
      </c>
      <c r="P6" s="106">
        <f>'2. Propiedades de Disipador'!P7</f>
        <v>0.6</v>
      </c>
      <c r="Q6" s="107" t="s">
        <v>52</v>
      </c>
      <c r="R6" s="3"/>
      <c r="S6" s="469" t="s">
        <v>95</v>
      </c>
      <c r="T6" s="470" t="s">
        <v>94</v>
      </c>
      <c r="U6" s="11"/>
    </row>
    <row r="7" spans="2:21" ht="15.75" thickBot="1" x14ac:dyDescent="0.3">
      <c r="B7" s="10"/>
      <c r="C7" s="322" t="s">
        <v>58</v>
      </c>
      <c r="D7" s="323"/>
      <c r="E7" s="324"/>
      <c r="F7" s="108">
        <f>'2. Propiedades de Disipador'!F8</f>
        <v>3</v>
      </c>
      <c r="G7" s="109"/>
      <c r="H7" s="82"/>
      <c r="I7" s="462"/>
      <c r="J7" s="463" t="s">
        <v>91</v>
      </c>
      <c r="K7" s="464" t="s">
        <v>67</v>
      </c>
      <c r="L7" s="465" t="s">
        <v>67</v>
      </c>
      <c r="M7" s="466" t="s">
        <v>453</v>
      </c>
      <c r="N7" s="3"/>
      <c r="O7" s="325" t="s">
        <v>93</v>
      </c>
      <c r="P7" s="110">
        <f>'2. Propiedades de Disipador'!P8</f>
        <v>1.5</v>
      </c>
      <c r="Q7" s="111" t="s">
        <v>52</v>
      </c>
      <c r="R7" s="3"/>
      <c r="S7" s="506">
        <v>1</v>
      </c>
      <c r="T7" s="577">
        <f>'2. Propiedades de Disipador'!T8</f>
        <v>3.2549999999999999</v>
      </c>
      <c r="U7" s="11"/>
    </row>
    <row r="8" spans="2:21" x14ac:dyDescent="0.25">
      <c r="B8" s="10"/>
      <c r="C8" s="322" t="s">
        <v>59</v>
      </c>
      <c r="D8" s="323"/>
      <c r="E8" s="324"/>
      <c r="F8" s="108">
        <f>'2. Propiedades de Disipador'!F9</f>
        <v>5.5</v>
      </c>
      <c r="G8" s="109"/>
      <c r="H8" s="82"/>
      <c r="I8" s="443" t="str">
        <f>'2. Propiedades de Disipador'!I9</f>
        <v>Techo</v>
      </c>
      <c r="J8" s="444">
        <f>'2. Propiedades de Disipador'!J9</f>
        <v>18.581479999999999</v>
      </c>
      <c r="K8" s="445">
        <f>'2. Propiedades de Disipador'!K9</f>
        <v>598.32365600000003</v>
      </c>
      <c r="L8" s="446">
        <f>'2. Propiedades de Disipador'!L9</f>
        <v>288</v>
      </c>
      <c r="M8" s="447">
        <v>72</v>
      </c>
      <c r="N8" s="41"/>
      <c r="O8" s="321" t="s">
        <v>135</v>
      </c>
      <c r="P8" s="106">
        <f>'2. Propiedades de Disipador'!P9</f>
        <v>0.89999999999999991</v>
      </c>
      <c r="Q8" s="107" t="s">
        <v>52</v>
      </c>
      <c r="R8" s="3"/>
      <c r="S8" s="512">
        <v>2</v>
      </c>
      <c r="T8" s="578">
        <f>'2. Propiedades de Disipador'!T9</f>
        <v>2.2320000000000002</v>
      </c>
      <c r="U8" s="11"/>
    </row>
    <row r="9" spans="2:21" ht="15.75" thickBot="1" x14ac:dyDescent="0.3">
      <c r="B9" s="10"/>
      <c r="C9" s="279" t="s">
        <v>56</v>
      </c>
      <c r="D9" s="280"/>
      <c r="E9" s="281"/>
      <c r="F9" s="103">
        <f>'2. Propiedades de Disipador'!F10</f>
        <v>1</v>
      </c>
      <c r="G9" s="104"/>
      <c r="H9" s="82"/>
      <c r="I9" s="443" t="str">
        <f>'2. Propiedades de Disipador'!I10</f>
        <v>Piso 6</v>
      </c>
      <c r="J9" s="66">
        <f>'2. Propiedades de Disipador'!J10</f>
        <v>38.278559999999999</v>
      </c>
      <c r="K9" s="445">
        <f>'2. Propiedades de Disipador'!K10</f>
        <v>1232.5696320000002</v>
      </c>
      <c r="L9" s="446">
        <f>'2. Propiedades de Disipador'!L10</f>
        <v>1152</v>
      </c>
      <c r="M9" s="235">
        <v>60</v>
      </c>
      <c r="N9" s="41"/>
      <c r="O9" s="325" t="s">
        <v>136</v>
      </c>
      <c r="P9" s="110">
        <f>'2. Propiedades de Disipador'!P10</f>
        <v>1.5</v>
      </c>
      <c r="Q9" s="111" t="s">
        <v>52</v>
      </c>
      <c r="R9" s="3"/>
      <c r="S9" s="512">
        <v>3</v>
      </c>
      <c r="T9" s="578">
        <f>'2. Propiedades de Disipador'!T10</f>
        <v>1.7190000000000001</v>
      </c>
      <c r="U9" s="11"/>
    </row>
    <row r="10" spans="2:21" x14ac:dyDescent="0.25">
      <c r="B10" s="10"/>
      <c r="C10" s="327" t="s">
        <v>49</v>
      </c>
      <c r="D10" s="328"/>
      <c r="E10" s="329"/>
      <c r="F10" s="105">
        <f>'2. Propiedades de Disipador'!F12</f>
        <v>72</v>
      </c>
      <c r="G10" s="49" t="s">
        <v>6</v>
      </c>
      <c r="H10" s="82"/>
      <c r="I10" s="443" t="str">
        <f>'2. Propiedades de Disipador'!I11</f>
        <v>Piso 5</v>
      </c>
      <c r="J10" s="66">
        <f>'2. Propiedades de Disipador'!J11</f>
        <v>38.469079999999998</v>
      </c>
      <c r="K10" s="445">
        <f>'2. Propiedades de Disipador'!K11</f>
        <v>1238.7043760000001</v>
      </c>
      <c r="L10" s="446">
        <f>'2. Propiedades de Disipador'!L11</f>
        <v>1152</v>
      </c>
      <c r="M10" s="235">
        <v>48</v>
      </c>
      <c r="N10" s="41"/>
      <c r="O10" s="326" t="s">
        <v>138</v>
      </c>
      <c r="P10" s="441">
        <f>'2. Propiedades de Disipador'!P11</f>
        <v>1</v>
      </c>
      <c r="Q10" s="116" t="s">
        <v>52</v>
      </c>
      <c r="R10" s="3"/>
      <c r="S10" s="512">
        <v>4</v>
      </c>
      <c r="T10" s="578">
        <f>'2. Propiedades de Disipador'!T11</f>
        <v>1.022</v>
      </c>
      <c r="U10" s="11"/>
    </row>
    <row r="11" spans="2:21" ht="15.75" thickBot="1" x14ac:dyDescent="0.3">
      <c r="B11" s="10"/>
      <c r="C11" s="96" t="s">
        <v>65</v>
      </c>
      <c r="D11" s="97"/>
      <c r="E11" s="98"/>
      <c r="F11" s="112" t="str">
        <f>'2. Propiedades de Disipador'!F13</f>
        <v>Sin Arriostramiento</v>
      </c>
      <c r="G11" s="113"/>
      <c r="H11" s="82"/>
      <c r="I11" s="443" t="str">
        <f>'2. Propiedades de Disipador'!I12</f>
        <v>Piso 4</v>
      </c>
      <c r="J11" s="66">
        <f>'2. Propiedades de Disipador'!J12</f>
        <v>38.779350000000001</v>
      </c>
      <c r="K11" s="445">
        <f>'2. Propiedades de Disipador'!K12</f>
        <v>1248.6950700000002</v>
      </c>
      <c r="L11" s="446">
        <f>'2. Propiedades de Disipador'!L12</f>
        <v>1152</v>
      </c>
      <c r="M11" s="235">
        <v>36</v>
      </c>
      <c r="N11" s="41"/>
      <c r="O11" s="325" t="s">
        <v>137</v>
      </c>
      <c r="P11" s="110">
        <f>'2. Propiedades de Disipador'!P12</f>
        <v>0.59999999999999987</v>
      </c>
      <c r="Q11" s="111" t="s">
        <v>52</v>
      </c>
      <c r="R11" s="3"/>
      <c r="S11" s="512">
        <v>5</v>
      </c>
      <c r="T11" s="578">
        <f>'2. Propiedades de Disipador'!T12</f>
        <v>0.74399999999999999</v>
      </c>
      <c r="U11" s="11"/>
    </row>
    <row r="12" spans="2:21" ht="15.75" thickBot="1" x14ac:dyDescent="0.3">
      <c r="B12" s="10"/>
      <c r="C12" s="322" t="s">
        <v>63</v>
      </c>
      <c r="D12" s="323"/>
      <c r="E12" s="324"/>
      <c r="F12" s="108">
        <f>'2. Propiedades de Disipador'!F14</f>
        <v>0.9</v>
      </c>
      <c r="G12" s="109"/>
      <c r="H12" s="82"/>
      <c r="I12" s="443" t="str">
        <f>'2. Propiedades de Disipador'!I13</f>
        <v>Piso 3</v>
      </c>
      <c r="J12" s="66">
        <f>'2. Propiedades de Disipador'!J13</f>
        <v>39.01332</v>
      </c>
      <c r="K12" s="445">
        <f>'2. Propiedades de Disipador'!K13</f>
        <v>1256.2289040000001</v>
      </c>
      <c r="L12" s="446">
        <f>'2. Propiedades de Disipador'!L13</f>
        <v>1152</v>
      </c>
      <c r="M12" s="235">
        <v>24</v>
      </c>
      <c r="N12" s="41"/>
      <c r="O12" s="271" t="s">
        <v>111</v>
      </c>
      <c r="P12" s="272"/>
      <c r="Q12" s="273"/>
      <c r="R12" s="3"/>
      <c r="S12" s="512">
        <v>6</v>
      </c>
      <c r="T12" s="578">
        <f>'2. Propiedades de Disipador'!T13</f>
        <v>0.57699999999999996</v>
      </c>
      <c r="U12" s="11"/>
    </row>
    <row r="13" spans="2:21" x14ac:dyDescent="0.25">
      <c r="B13" s="10"/>
      <c r="C13" s="322" t="s">
        <v>64</v>
      </c>
      <c r="D13" s="323"/>
      <c r="E13" s="324"/>
      <c r="F13" s="441">
        <f>'2. Propiedades de Disipador'!F15</f>
        <v>1</v>
      </c>
      <c r="G13" s="116"/>
      <c r="H13" s="82"/>
      <c r="I13" s="443" t="str">
        <f>'2. Propiedades de Disipador'!I14</f>
        <v>Piso 2</v>
      </c>
      <c r="J13" s="66">
        <f>'2. Propiedades de Disipador'!J14</f>
        <v>39.051749999999998</v>
      </c>
      <c r="K13" s="445">
        <f>'2. Propiedades de Disipador'!K14</f>
        <v>1257.4663500000001</v>
      </c>
      <c r="L13" s="446">
        <f>'2. Propiedades de Disipador'!L14</f>
        <v>1152</v>
      </c>
      <c r="M13" s="235">
        <v>12</v>
      </c>
      <c r="N13" s="41"/>
      <c r="O13" s="333" t="s">
        <v>38</v>
      </c>
      <c r="P13" s="83">
        <f>'2. Propiedades de Disipador'!P14</f>
        <v>0.11999999999999998</v>
      </c>
      <c r="Q13" s="84" t="s">
        <v>151</v>
      </c>
      <c r="R13" s="3"/>
      <c r="S13" s="512">
        <v>7</v>
      </c>
      <c r="T13" s="578">
        <f>'2. Propiedades de Disipador'!T14</f>
        <v>0.52700000000000002</v>
      </c>
      <c r="U13" s="11"/>
    </row>
    <row r="14" spans="2:21" ht="15.75" thickBot="1" x14ac:dyDescent="0.3">
      <c r="B14" s="10"/>
      <c r="C14" s="327" t="s">
        <v>92</v>
      </c>
      <c r="D14" s="328"/>
      <c r="E14" s="329"/>
      <c r="F14" s="18">
        <f>'2. Propiedades de Disipador'!F16</f>
        <v>1.4</v>
      </c>
      <c r="G14" s="440"/>
      <c r="H14" s="82"/>
      <c r="I14" s="243" t="str">
        <f>'2. Propiedades de Disipador'!I15</f>
        <v>Base</v>
      </c>
      <c r="J14" s="448">
        <f>'2. Propiedades de Disipador'!J15</f>
        <v>0.67666999999999999</v>
      </c>
      <c r="K14" s="449">
        <f>'2. Propiedades de Disipador'!K15</f>
        <v>21.788774</v>
      </c>
      <c r="L14" s="450">
        <f>'2. Propiedades de Disipador'!L15</f>
        <v>0</v>
      </c>
      <c r="M14" s="451">
        <v>0</v>
      </c>
      <c r="N14" s="41"/>
      <c r="O14" s="334" t="s">
        <v>118</v>
      </c>
      <c r="P14" s="85">
        <f>'2. Propiedades de Disipador'!P15</f>
        <v>0.59999999999999987</v>
      </c>
      <c r="Q14" s="86" t="s">
        <v>151</v>
      </c>
      <c r="R14" s="3"/>
      <c r="S14" s="512">
        <v>8</v>
      </c>
      <c r="T14" s="578">
        <f>'2. Propiedades de Disipador'!T15</f>
        <v>0.42499999999999999</v>
      </c>
      <c r="U14" s="11"/>
    </row>
    <row r="15" spans="2:21" ht="15.75" thickBot="1" x14ac:dyDescent="0.3">
      <c r="B15" s="10"/>
      <c r="C15" s="434" t="s">
        <v>79</v>
      </c>
      <c r="D15" s="435"/>
      <c r="E15" s="435"/>
      <c r="F15" s="120">
        <f>'2. Propiedades de Disipador'!F17</f>
        <v>32.200000000000003</v>
      </c>
      <c r="G15" s="116" t="s">
        <v>80</v>
      </c>
      <c r="H15" s="82"/>
      <c r="I15" s="351" t="str">
        <f>'2. Propiedades de Disipador'!I16</f>
        <v>Suma</v>
      </c>
      <c r="J15" s="78">
        <f>'2. Propiedades de Disipador'!J16</f>
        <v>0</v>
      </c>
      <c r="K15" s="352">
        <f>SUM(K8:K14)</f>
        <v>6853.7767620000004</v>
      </c>
      <c r="L15" s="352">
        <f>SUM(L8:L14)</f>
        <v>6048</v>
      </c>
      <c r="M15" s="233"/>
      <c r="N15" s="41"/>
      <c r="O15" s="337" t="s">
        <v>39</v>
      </c>
      <c r="P15" s="87">
        <f>'2. Propiedades de Disipador'!P16</f>
        <v>12</v>
      </c>
      <c r="Q15" s="88" t="s">
        <v>151</v>
      </c>
      <c r="R15" s="3"/>
      <c r="S15" s="512">
        <v>9</v>
      </c>
      <c r="T15" s="578">
        <f>'2. Propiedades de Disipador'!T16</f>
        <v>0.42499999999999999</v>
      </c>
      <c r="U15" s="11"/>
    </row>
    <row r="16" spans="2:21" x14ac:dyDescent="0.25">
      <c r="B16" s="10"/>
      <c r="C16" s="436"/>
      <c r="D16" s="437"/>
      <c r="E16" s="437"/>
      <c r="F16" s="120">
        <f>'2. Propiedades de Disipador'!F18</f>
        <v>386.22047244094</v>
      </c>
      <c r="G16" s="49" t="s">
        <v>114</v>
      </c>
      <c r="H16" s="82"/>
      <c r="I16" s="82"/>
      <c r="J16" s="50"/>
      <c r="K16" s="31"/>
      <c r="L16" s="3"/>
      <c r="M16" s="209"/>
      <c r="N16" s="12"/>
      <c r="O16" s="12"/>
      <c r="P16" s="12"/>
      <c r="Q16" s="12"/>
      <c r="R16" s="3"/>
      <c r="S16" s="512">
        <v>10</v>
      </c>
      <c r="T16" s="578">
        <f>'2. Propiedades de Disipador'!T17</f>
        <v>0.42499999999999999</v>
      </c>
      <c r="U16" s="11"/>
    </row>
    <row r="17" spans="2:21" x14ac:dyDescent="0.25">
      <c r="B17" s="10"/>
      <c r="C17" s="322" t="s">
        <v>96</v>
      </c>
      <c r="D17" s="323"/>
      <c r="E17" s="324"/>
      <c r="F17" s="345">
        <f>'2. Propiedades de Disipador'!F19</f>
        <v>1.5</v>
      </c>
      <c r="G17" s="439"/>
      <c r="H17" s="82"/>
      <c r="I17" s="82"/>
      <c r="J17" s="50"/>
      <c r="K17" s="31"/>
      <c r="L17" s="3"/>
      <c r="M17" s="209"/>
      <c r="N17" s="12"/>
      <c r="O17" s="12"/>
      <c r="P17" s="41"/>
      <c r="Q17" s="41"/>
      <c r="R17" s="3"/>
      <c r="S17" s="512">
        <v>11</v>
      </c>
      <c r="T17" s="578">
        <f>'2. Propiedades de Disipador'!T18</f>
        <v>0.42499999999999999</v>
      </c>
      <c r="U17" s="11"/>
    </row>
    <row r="18" spans="2:21" ht="15.75" thickBot="1" x14ac:dyDescent="0.3">
      <c r="B18" s="10"/>
      <c r="C18" s="338" t="s">
        <v>84</v>
      </c>
      <c r="D18" s="339"/>
      <c r="E18" s="339"/>
      <c r="F18" s="438">
        <f>'2. Propiedades de Disipador'!F20</f>
        <v>428.3898317844006</v>
      </c>
      <c r="G18" s="121" t="s">
        <v>11</v>
      </c>
      <c r="H18" s="82"/>
      <c r="I18" s="82"/>
      <c r="J18" s="50"/>
      <c r="K18" s="31"/>
      <c r="L18" s="3"/>
      <c r="M18" s="209"/>
      <c r="N18" s="12"/>
      <c r="O18" s="12"/>
      <c r="P18" s="41"/>
      <c r="Q18" s="41"/>
      <c r="R18" s="3"/>
      <c r="S18" s="517">
        <v>12</v>
      </c>
      <c r="T18" s="579">
        <f>'2. Propiedades de Disipador'!T19</f>
        <v>0.42199999999999999</v>
      </c>
      <c r="U18" s="11"/>
    </row>
    <row r="19" spans="2:21" ht="15.75" thickBot="1" x14ac:dyDescent="0.3">
      <c r="B19" s="23"/>
      <c r="C19" s="24"/>
      <c r="D19" s="24"/>
      <c r="E19" s="24"/>
      <c r="F19" s="24"/>
      <c r="G19" s="24"/>
      <c r="H19" s="208"/>
      <c r="I19" s="208"/>
      <c r="J19" s="48"/>
      <c r="K19" s="95"/>
      <c r="L19" s="24"/>
      <c r="M19" s="210"/>
      <c r="N19" s="94"/>
      <c r="O19" s="94"/>
      <c r="P19" s="69"/>
      <c r="Q19" s="69"/>
      <c r="R19" s="24"/>
      <c r="S19" s="24"/>
      <c r="T19" s="24"/>
      <c r="U19" s="25"/>
    </row>
    <row r="20" spans="2:21" x14ac:dyDescent="0.25">
      <c r="B20" s="1"/>
      <c r="C20" s="1"/>
      <c r="D20" s="1"/>
      <c r="E20" s="1"/>
      <c r="F20" s="1"/>
      <c r="G20" s="1"/>
      <c r="H20" s="576"/>
      <c r="I20" s="576"/>
      <c r="J20" s="1"/>
      <c r="K20" s="1"/>
      <c r="L20" s="1"/>
      <c r="M20" s="576"/>
      <c r="N20" s="1"/>
      <c r="O20" s="1"/>
      <c r="P20" s="1"/>
      <c r="Q20" s="1"/>
      <c r="R20" s="1"/>
    </row>
    <row r="21" spans="2:21" x14ac:dyDescent="0.25">
      <c r="B21" s="1"/>
      <c r="C21" s="1"/>
      <c r="D21" s="1"/>
      <c r="E21" s="1"/>
      <c r="F21" s="1"/>
      <c r="G21" s="1"/>
      <c r="H21" s="576"/>
      <c r="I21" s="576"/>
      <c r="J21" s="1"/>
      <c r="K21" s="1"/>
      <c r="L21" s="1"/>
      <c r="M21" s="576"/>
      <c r="N21" s="1"/>
      <c r="O21" s="1"/>
      <c r="P21" s="1"/>
      <c r="Q21" s="1"/>
      <c r="R21" s="1"/>
    </row>
    <row r="22" spans="2:21" ht="15.75" thickBot="1" x14ac:dyDescent="0.3">
      <c r="B22" s="1"/>
      <c r="C22" s="1"/>
      <c r="D22" s="1"/>
      <c r="E22" s="1"/>
      <c r="F22" s="1"/>
      <c r="G22" s="1"/>
      <c r="H22" s="576"/>
      <c r="I22" s="576"/>
      <c r="J22" s="1"/>
      <c r="K22" s="1"/>
      <c r="L22" s="1"/>
      <c r="M22" s="576"/>
      <c r="N22" s="1"/>
      <c r="O22" s="1"/>
      <c r="P22" s="1"/>
      <c r="Q22" s="1"/>
      <c r="R22" s="1"/>
    </row>
    <row r="23" spans="2:21" ht="15" customHeight="1" x14ac:dyDescent="0.25">
      <c r="B23" s="480" t="s">
        <v>472</v>
      </c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2"/>
    </row>
    <row r="24" spans="2:21" ht="15.75" customHeight="1" thickBot="1" x14ac:dyDescent="0.3">
      <c r="B24" s="483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5"/>
    </row>
    <row r="25" spans="2:21" x14ac:dyDescent="0.25">
      <c r="B25" s="7"/>
      <c r="C25" s="8"/>
      <c r="D25" s="8"/>
      <c r="E25" s="8"/>
      <c r="F25" s="8"/>
      <c r="G25" s="8"/>
      <c r="H25" s="220"/>
      <c r="I25" s="220"/>
      <c r="J25" s="8"/>
      <c r="K25" s="8"/>
      <c r="L25" s="8"/>
      <c r="M25" s="220"/>
      <c r="N25" s="8"/>
      <c r="O25" s="8"/>
      <c r="P25" s="8"/>
      <c r="Q25" s="8"/>
      <c r="R25" s="8"/>
      <c r="S25" s="8"/>
      <c r="T25" s="8"/>
      <c r="U25" s="9"/>
    </row>
    <row r="26" spans="2:21" x14ac:dyDescent="0.25">
      <c r="B26" s="10"/>
      <c r="C26" s="277" t="s">
        <v>473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11"/>
    </row>
    <row r="27" spans="2:21" x14ac:dyDescent="0.25">
      <c r="B27" s="10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11"/>
    </row>
    <row r="28" spans="2:21" x14ac:dyDescent="0.25">
      <c r="B28" s="10"/>
      <c r="C28" s="3"/>
      <c r="D28" s="3"/>
      <c r="E28" s="3"/>
      <c r="F28" s="3"/>
      <c r="G28" s="82"/>
      <c r="H28" s="82"/>
      <c r="I28" s="3"/>
      <c r="J28" s="3"/>
      <c r="K28" s="3"/>
      <c r="L28" s="82"/>
      <c r="M28" s="3"/>
      <c r="N28" s="3"/>
      <c r="O28" s="3"/>
      <c r="P28" s="3"/>
      <c r="Q28" s="3"/>
      <c r="R28" s="3"/>
      <c r="S28" s="3"/>
      <c r="T28" s="3"/>
      <c r="U28" s="11"/>
    </row>
    <row r="29" spans="2:21" ht="17.25" customHeight="1" x14ac:dyDescent="0.25">
      <c r="B29" s="10"/>
      <c r="C29" s="270" t="s">
        <v>184</v>
      </c>
      <c r="D29" s="270"/>
      <c r="E29" s="270"/>
      <c r="F29" s="270"/>
      <c r="G29" s="270"/>
      <c r="H29" s="82"/>
      <c r="I29" s="3"/>
      <c r="J29" s="3"/>
      <c r="K29" s="3"/>
      <c r="L29" s="82"/>
      <c r="M29" s="3"/>
      <c r="N29" s="3"/>
      <c r="O29" s="3"/>
      <c r="P29" s="3"/>
      <c r="Q29" s="3"/>
      <c r="R29" s="3"/>
      <c r="S29" s="3"/>
      <c r="T29" s="3"/>
      <c r="U29" s="11"/>
    </row>
    <row r="30" spans="2:21" ht="14.25" customHeight="1" x14ac:dyDescent="0.25">
      <c r="B30" s="10"/>
      <c r="C30" s="268" t="s">
        <v>22</v>
      </c>
      <c r="D30" s="268" t="s">
        <v>251</v>
      </c>
      <c r="E30" s="268" t="s">
        <v>112</v>
      </c>
      <c r="F30" s="194" t="s">
        <v>252</v>
      </c>
      <c r="G30" s="580" t="s">
        <v>85</v>
      </c>
      <c r="H30" s="82"/>
      <c r="I30" s="3"/>
      <c r="J30" s="3"/>
      <c r="K30" s="3"/>
      <c r="L30" s="82"/>
      <c r="M30" s="3"/>
      <c r="N30" s="3"/>
      <c r="O30" s="3"/>
      <c r="P30" s="3"/>
      <c r="Q30" s="3"/>
      <c r="R30" s="3"/>
      <c r="S30" s="3"/>
      <c r="T30" s="3"/>
      <c r="U30" s="11"/>
    </row>
    <row r="31" spans="2:21" ht="13.5" customHeight="1" x14ac:dyDescent="0.25">
      <c r="B31" s="10"/>
      <c r="C31" s="269"/>
      <c r="D31" s="269"/>
      <c r="E31" s="269"/>
      <c r="F31" s="581" t="s">
        <v>250</v>
      </c>
      <c r="G31" s="582"/>
      <c r="H31" s="82"/>
      <c r="I31" s="3"/>
      <c r="J31" s="3"/>
      <c r="K31" s="3"/>
      <c r="L31" s="82"/>
      <c r="M31" s="3"/>
      <c r="N31" s="3"/>
      <c r="O31" s="3"/>
      <c r="P31" s="3"/>
      <c r="Q31" s="3"/>
      <c r="R31" s="3"/>
      <c r="S31" s="3"/>
      <c r="T31" s="3"/>
      <c r="U31" s="11"/>
    </row>
    <row r="32" spans="2:21" x14ac:dyDescent="0.25">
      <c r="B32" s="10"/>
      <c r="C32" s="230" t="s">
        <v>14</v>
      </c>
      <c r="D32" s="230">
        <f>M8</f>
        <v>72</v>
      </c>
      <c r="E32" s="230">
        <f>MAX($D$32:$D$38)</f>
        <v>72</v>
      </c>
      <c r="F32" s="583">
        <f>D32/E32</f>
        <v>1</v>
      </c>
      <c r="G32" s="166">
        <v>1</v>
      </c>
      <c r="H32" s="82"/>
      <c r="I32" s="3"/>
      <c r="J32" s="3"/>
      <c r="K32" s="3"/>
      <c r="L32" s="82"/>
      <c r="M32" s="3"/>
      <c r="N32" s="3"/>
      <c r="O32" s="3"/>
      <c r="P32" s="3"/>
      <c r="Q32" s="3"/>
      <c r="R32" s="3"/>
      <c r="S32" s="3"/>
      <c r="T32" s="3"/>
      <c r="U32" s="11"/>
    </row>
    <row r="33" spans="2:21" x14ac:dyDescent="0.25">
      <c r="B33" s="10"/>
      <c r="C33" s="230" t="s">
        <v>147</v>
      </c>
      <c r="D33" s="230">
        <f>M9</f>
        <v>60</v>
      </c>
      <c r="E33" s="230">
        <f>MAX($D$32:$D$38)</f>
        <v>72</v>
      </c>
      <c r="F33" s="583">
        <f t="shared" ref="F33:F38" si="0">D33/E33</f>
        <v>0.83333333333333337</v>
      </c>
      <c r="G33" s="166">
        <v>0.88</v>
      </c>
      <c r="H33" s="82"/>
      <c r="I33" s="3"/>
      <c r="J33" s="3"/>
      <c r="K33" s="3"/>
      <c r="L33" s="82"/>
      <c r="M33" s="3"/>
      <c r="N33" s="3"/>
      <c r="O33" s="3"/>
      <c r="P33" s="3"/>
      <c r="Q33" s="3"/>
      <c r="R33" s="3"/>
      <c r="S33" s="3"/>
      <c r="T33" s="3"/>
      <c r="U33" s="11"/>
    </row>
    <row r="34" spans="2:21" x14ac:dyDescent="0.25">
      <c r="B34" s="10"/>
      <c r="C34" s="230" t="s">
        <v>17</v>
      </c>
      <c r="D34" s="230">
        <f>M10</f>
        <v>48</v>
      </c>
      <c r="E34" s="230">
        <f>MAX($D$32:$D$38)</f>
        <v>72</v>
      </c>
      <c r="F34" s="583">
        <f t="shared" si="0"/>
        <v>0.66666666666666663</v>
      </c>
      <c r="G34" s="166">
        <v>0.71</v>
      </c>
      <c r="H34" s="82"/>
      <c r="I34" s="3"/>
      <c r="J34" s="3"/>
      <c r="K34" s="3"/>
      <c r="L34" s="82"/>
      <c r="M34" s="3"/>
      <c r="N34" s="3"/>
      <c r="O34" s="3"/>
      <c r="P34" s="3"/>
      <c r="Q34" s="3"/>
      <c r="R34" s="3"/>
      <c r="S34" s="3"/>
      <c r="T34" s="3"/>
      <c r="U34" s="11"/>
    </row>
    <row r="35" spans="2:21" x14ac:dyDescent="0.25">
      <c r="B35" s="10"/>
      <c r="C35" s="230" t="s">
        <v>18</v>
      </c>
      <c r="D35" s="230">
        <f>M11</f>
        <v>36</v>
      </c>
      <c r="E35" s="230">
        <f>MAX($D$32:$D$38)</f>
        <v>72</v>
      </c>
      <c r="F35" s="583">
        <f t="shared" si="0"/>
        <v>0.5</v>
      </c>
      <c r="G35" s="166">
        <v>0.49</v>
      </c>
      <c r="H35" s="82"/>
      <c r="I35" s="3"/>
      <c r="J35" s="3"/>
      <c r="K35" s="3"/>
      <c r="L35" s="82"/>
      <c r="M35" s="3"/>
      <c r="N35" s="3"/>
      <c r="O35" s="3"/>
      <c r="P35" s="3"/>
      <c r="Q35" s="3"/>
      <c r="R35" s="3"/>
      <c r="S35" s="3"/>
      <c r="T35" s="3"/>
      <c r="U35" s="11"/>
    </row>
    <row r="36" spans="2:21" x14ac:dyDescent="0.25">
      <c r="B36" s="10"/>
      <c r="C36" s="230" t="s">
        <v>19</v>
      </c>
      <c r="D36" s="230">
        <f>M12</f>
        <v>24</v>
      </c>
      <c r="E36" s="230">
        <f>MAX($D$32:$D$38)</f>
        <v>72</v>
      </c>
      <c r="F36" s="583">
        <f t="shared" si="0"/>
        <v>0.33333333333333331</v>
      </c>
      <c r="G36" s="166">
        <v>0.27</v>
      </c>
      <c r="H36" s="82"/>
      <c r="I36" s="3"/>
      <c r="J36" s="3"/>
      <c r="K36" s="3"/>
      <c r="L36" s="82"/>
      <c r="M36" s="3"/>
      <c r="N36" s="3"/>
      <c r="O36" s="3"/>
      <c r="P36" s="3"/>
      <c r="Q36" s="3"/>
      <c r="R36" s="3"/>
      <c r="S36" s="3"/>
      <c r="T36" s="3"/>
      <c r="U36" s="11"/>
    </row>
    <row r="37" spans="2:21" x14ac:dyDescent="0.25">
      <c r="B37" s="10"/>
      <c r="C37" s="230" t="s">
        <v>16</v>
      </c>
      <c r="D37" s="230">
        <f>M13</f>
        <v>12</v>
      </c>
      <c r="E37" s="230">
        <f>MAX($D$32:$D$38)</f>
        <v>72</v>
      </c>
      <c r="F37" s="583">
        <f t="shared" si="0"/>
        <v>0.16666666666666666</v>
      </c>
      <c r="G37" s="166">
        <v>0.09</v>
      </c>
      <c r="H37" s="82"/>
      <c r="I37" s="3"/>
      <c r="J37" s="3"/>
      <c r="K37" s="3"/>
      <c r="L37" s="82"/>
      <c r="M37" s="3"/>
      <c r="N37" s="3"/>
      <c r="O37" s="3"/>
      <c r="P37" s="3"/>
      <c r="Q37" s="3"/>
      <c r="R37" s="3"/>
      <c r="S37" s="3"/>
      <c r="T37" s="3"/>
      <c r="U37" s="11"/>
    </row>
    <row r="38" spans="2:21" x14ac:dyDescent="0.25">
      <c r="B38" s="10"/>
      <c r="C38" s="231" t="s">
        <v>30</v>
      </c>
      <c r="D38" s="231">
        <f>M14</f>
        <v>0</v>
      </c>
      <c r="E38" s="231">
        <f>MAX($D$32:$D$38)</f>
        <v>72</v>
      </c>
      <c r="F38" s="584">
        <f t="shared" si="0"/>
        <v>0</v>
      </c>
      <c r="G38" s="554">
        <v>0</v>
      </c>
      <c r="H38" s="82"/>
      <c r="I38" s="3"/>
      <c r="J38" s="3"/>
      <c r="K38" s="3"/>
      <c r="L38" s="82"/>
      <c r="M38" s="3"/>
      <c r="N38" s="3"/>
      <c r="O38" s="3"/>
      <c r="P38" s="3"/>
      <c r="Q38" s="3"/>
      <c r="R38" s="3"/>
      <c r="S38" s="3"/>
      <c r="T38" s="3"/>
      <c r="U38" s="11"/>
    </row>
    <row r="39" spans="2:21" x14ac:dyDescent="0.25">
      <c r="B39" s="10"/>
      <c r="C39" s="3"/>
      <c r="D39" s="3"/>
      <c r="E39" s="3"/>
      <c r="F39" s="3"/>
      <c r="G39" s="82"/>
      <c r="H39" s="82"/>
      <c r="I39" s="3"/>
      <c r="J39" s="3"/>
      <c r="K39" s="3"/>
      <c r="L39" s="82"/>
      <c r="M39" s="3"/>
      <c r="N39" s="3"/>
      <c r="O39" s="3"/>
      <c r="P39" s="3"/>
      <c r="Q39" s="3"/>
      <c r="R39" s="3"/>
      <c r="S39" s="3"/>
      <c r="T39" s="3"/>
      <c r="U39" s="11"/>
    </row>
    <row r="40" spans="2:21" x14ac:dyDescent="0.25">
      <c r="B40" s="10"/>
      <c r="C40" s="3"/>
      <c r="D40" s="3"/>
      <c r="E40" s="3"/>
      <c r="F40" s="3"/>
      <c r="G40" s="82"/>
      <c r="H40" s="82"/>
      <c r="I40" s="3"/>
      <c r="J40" s="3"/>
      <c r="K40" s="3"/>
      <c r="L40" s="82"/>
      <c r="M40" s="3"/>
      <c r="N40" s="3"/>
      <c r="O40" s="3"/>
      <c r="P40" s="3"/>
      <c r="Q40" s="3"/>
      <c r="R40" s="3"/>
      <c r="S40" s="3"/>
      <c r="T40" s="3"/>
      <c r="U40" s="11"/>
    </row>
    <row r="41" spans="2:21" x14ac:dyDescent="0.25">
      <c r="B41" s="10"/>
      <c r="C41" s="3"/>
      <c r="D41" s="3"/>
      <c r="E41" s="3"/>
      <c r="F41" s="3"/>
      <c r="G41" s="82"/>
      <c r="H41" s="82"/>
      <c r="I41" s="3"/>
      <c r="J41" s="3"/>
      <c r="K41" s="3"/>
      <c r="L41" s="82"/>
      <c r="M41" s="3"/>
      <c r="N41" s="3"/>
      <c r="O41" s="3"/>
      <c r="P41" s="3"/>
      <c r="Q41" s="3"/>
      <c r="R41" s="3"/>
      <c r="S41" s="3"/>
      <c r="T41" s="3"/>
      <c r="U41" s="11"/>
    </row>
    <row r="42" spans="2:21" x14ac:dyDescent="0.25">
      <c r="B42" s="10"/>
      <c r="C42" s="3"/>
      <c r="D42" s="3"/>
      <c r="E42" s="3"/>
      <c r="F42" s="3"/>
      <c r="G42" s="82"/>
      <c r="H42" s="82"/>
      <c r="I42" s="3"/>
      <c r="J42" s="3"/>
      <c r="K42" s="3"/>
      <c r="L42" s="82"/>
      <c r="M42" s="3"/>
      <c r="N42" s="3"/>
      <c r="O42" s="3"/>
      <c r="P42" s="3"/>
      <c r="Q42" s="3"/>
      <c r="R42" s="3"/>
      <c r="S42" s="3"/>
      <c r="T42" s="3"/>
      <c r="U42" s="11"/>
    </row>
    <row r="43" spans="2:21" x14ac:dyDescent="0.25">
      <c r="B43" s="10"/>
      <c r="C43" s="270" t="s">
        <v>183</v>
      </c>
      <c r="D43" s="270"/>
      <c r="E43" s="270"/>
      <c r="F43" s="270"/>
      <c r="G43" s="270"/>
      <c r="H43" s="270"/>
      <c r="I43" s="270"/>
      <c r="J43" s="3"/>
      <c r="K43" s="3"/>
      <c r="L43" s="82"/>
      <c r="M43" s="3"/>
      <c r="N43" s="3"/>
      <c r="O43" s="3"/>
      <c r="P43" s="3"/>
      <c r="Q43" s="3"/>
      <c r="R43" s="3"/>
      <c r="S43" s="3"/>
      <c r="T43" s="3"/>
      <c r="U43" s="11"/>
    </row>
    <row r="44" spans="2:21" x14ac:dyDescent="0.25">
      <c r="B44" s="10"/>
      <c r="C44" s="268" t="s">
        <v>22</v>
      </c>
      <c r="D44" s="268" t="s">
        <v>253</v>
      </c>
      <c r="E44" s="268" t="s">
        <v>252</v>
      </c>
      <c r="F44" s="268" t="s">
        <v>474</v>
      </c>
      <c r="G44" s="268" t="s">
        <v>475</v>
      </c>
      <c r="H44" s="268" t="s">
        <v>268</v>
      </c>
      <c r="I44" s="268"/>
      <c r="J44" s="3"/>
      <c r="K44" s="3"/>
      <c r="L44" s="82"/>
      <c r="M44" s="3"/>
      <c r="N44" s="3"/>
      <c r="O44" s="3"/>
      <c r="P44" s="3"/>
      <c r="Q44" s="3"/>
      <c r="R44" s="3"/>
      <c r="S44" s="3"/>
      <c r="T44" s="3"/>
      <c r="U44" s="11"/>
    </row>
    <row r="45" spans="2:21" ht="12" customHeight="1" x14ac:dyDescent="0.25">
      <c r="B45" s="10"/>
      <c r="C45" s="269"/>
      <c r="D45" s="269"/>
      <c r="E45" s="269"/>
      <c r="F45" s="269"/>
      <c r="G45" s="269"/>
      <c r="H45" s="585" t="s">
        <v>254</v>
      </c>
      <c r="I45" s="585"/>
      <c r="J45" s="3"/>
      <c r="K45" s="3"/>
      <c r="L45" s="82"/>
      <c r="M45" s="3"/>
      <c r="N45" s="3"/>
      <c r="O45" s="3"/>
      <c r="P45" s="3"/>
      <c r="Q45" s="3"/>
      <c r="R45" s="3"/>
      <c r="S45" s="3"/>
      <c r="T45" s="3"/>
      <c r="U45" s="11"/>
    </row>
    <row r="46" spans="2:21" x14ac:dyDescent="0.25">
      <c r="B46" s="10"/>
      <c r="C46" s="147" t="s">
        <v>14</v>
      </c>
      <c r="D46" s="586">
        <f>K8</f>
        <v>598.32365600000003</v>
      </c>
      <c r="E46" s="587">
        <f>F32</f>
        <v>1</v>
      </c>
      <c r="F46" s="588">
        <f t="shared" ref="F46:F52" si="1">D46*E46</f>
        <v>598.32365600000003</v>
      </c>
      <c r="G46" s="588">
        <f t="shared" ref="G46:G52" si="2">D46*(E46^2)</f>
        <v>598.32365600000003</v>
      </c>
      <c r="H46" s="589"/>
      <c r="I46" s="590"/>
      <c r="J46" s="3"/>
      <c r="K46" s="3"/>
      <c r="L46" s="82"/>
      <c r="M46" s="3"/>
      <c r="N46" s="3"/>
      <c r="O46" s="3"/>
      <c r="P46" s="3"/>
      <c r="Q46" s="3"/>
      <c r="R46" s="3"/>
      <c r="S46" s="3"/>
      <c r="T46" s="3"/>
      <c r="U46" s="11"/>
    </row>
    <row r="47" spans="2:21" x14ac:dyDescent="0.25">
      <c r="B47" s="10"/>
      <c r="C47" s="230" t="s">
        <v>147</v>
      </c>
      <c r="D47" s="591">
        <f>K9</f>
        <v>1232.5696320000002</v>
      </c>
      <c r="E47" s="592">
        <f>F33</f>
        <v>0.83333333333333337</v>
      </c>
      <c r="F47" s="593">
        <f t="shared" si="1"/>
        <v>1027.1413600000003</v>
      </c>
      <c r="G47" s="593">
        <f t="shared" si="2"/>
        <v>855.95113333333359</v>
      </c>
      <c r="H47" s="594"/>
      <c r="I47" s="167"/>
      <c r="J47" s="3"/>
      <c r="K47" s="3"/>
      <c r="L47" s="82"/>
      <c r="M47" s="3"/>
      <c r="N47" s="3"/>
      <c r="O47" s="3"/>
      <c r="P47" s="3"/>
      <c r="Q47" s="3"/>
      <c r="R47" s="3"/>
      <c r="S47" s="3"/>
      <c r="T47" s="3"/>
      <c r="U47" s="11"/>
    </row>
    <row r="48" spans="2:21" x14ac:dyDescent="0.25">
      <c r="B48" s="10"/>
      <c r="C48" s="230" t="s">
        <v>17</v>
      </c>
      <c r="D48" s="591">
        <f>K10</f>
        <v>1238.7043760000001</v>
      </c>
      <c r="E48" s="592">
        <f>F34</f>
        <v>0.66666666666666663</v>
      </c>
      <c r="F48" s="593">
        <f t="shared" si="1"/>
        <v>825.80291733333343</v>
      </c>
      <c r="G48" s="593">
        <f t="shared" si="2"/>
        <v>550.53527822222225</v>
      </c>
      <c r="H48" s="594"/>
      <c r="I48" s="167"/>
      <c r="J48" s="3"/>
      <c r="K48" s="3"/>
      <c r="L48" s="82"/>
      <c r="M48" s="3"/>
      <c r="N48" s="3"/>
      <c r="O48" s="3"/>
      <c r="P48" s="3"/>
      <c r="Q48" s="3"/>
      <c r="R48" s="3"/>
      <c r="S48" s="3"/>
      <c r="T48" s="3"/>
      <c r="U48" s="11"/>
    </row>
    <row r="49" spans="2:21" x14ac:dyDescent="0.25">
      <c r="B49" s="10"/>
      <c r="C49" s="230" t="s">
        <v>18</v>
      </c>
      <c r="D49" s="591">
        <f>K11</f>
        <v>1248.6950700000002</v>
      </c>
      <c r="E49" s="592">
        <f>F35</f>
        <v>0.5</v>
      </c>
      <c r="F49" s="593">
        <f t="shared" si="1"/>
        <v>624.34753500000011</v>
      </c>
      <c r="G49" s="593">
        <f t="shared" si="2"/>
        <v>312.17376750000005</v>
      </c>
      <c r="H49" s="594"/>
      <c r="I49" s="167"/>
      <c r="J49" s="3"/>
      <c r="K49" s="3"/>
      <c r="L49" s="82"/>
      <c r="M49" s="3"/>
      <c r="N49" s="3"/>
      <c r="O49" s="3"/>
      <c r="P49" s="3"/>
      <c r="Q49" s="3"/>
      <c r="R49" s="3"/>
      <c r="S49" s="3"/>
      <c r="T49" s="3"/>
      <c r="U49" s="11"/>
    </row>
    <row r="50" spans="2:21" x14ac:dyDescent="0.25">
      <c r="B50" s="10"/>
      <c r="C50" s="230" t="s">
        <v>19</v>
      </c>
      <c r="D50" s="591">
        <f>K12</f>
        <v>1256.2289040000001</v>
      </c>
      <c r="E50" s="592">
        <f>F36</f>
        <v>0.33333333333333331</v>
      </c>
      <c r="F50" s="593">
        <f t="shared" si="1"/>
        <v>418.74296800000002</v>
      </c>
      <c r="G50" s="593">
        <f t="shared" si="2"/>
        <v>139.58098933333332</v>
      </c>
      <c r="H50" s="594"/>
      <c r="I50" s="167"/>
      <c r="J50" s="3"/>
      <c r="K50" s="3"/>
      <c r="L50" s="82"/>
      <c r="M50" s="3"/>
      <c r="N50" s="3"/>
      <c r="O50" s="3"/>
      <c r="P50" s="3"/>
      <c r="Q50" s="3"/>
      <c r="R50" s="3"/>
      <c r="S50" s="3"/>
      <c r="T50" s="3"/>
      <c r="U50" s="11"/>
    </row>
    <row r="51" spans="2:21" x14ac:dyDescent="0.25">
      <c r="B51" s="10"/>
      <c r="C51" s="230" t="s">
        <v>16</v>
      </c>
      <c r="D51" s="591">
        <f>K13</f>
        <v>1257.4663500000001</v>
      </c>
      <c r="E51" s="592">
        <f>F37</f>
        <v>0.16666666666666666</v>
      </c>
      <c r="F51" s="593">
        <f t="shared" si="1"/>
        <v>209.57772500000002</v>
      </c>
      <c r="G51" s="593">
        <f t="shared" si="2"/>
        <v>34.929620833333338</v>
      </c>
      <c r="H51" s="594"/>
      <c r="I51" s="167"/>
      <c r="J51" s="3"/>
      <c r="K51" s="3"/>
      <c r="L51" s="82"/>
      <c r="M51" s="3"/>
      <c r="N51" s="3"/>
      <c r="O51" s="3"/>
      <c r="P51" s="3"/>
      <c r="Q51" s="3"/>
      <c r="R51" s="3"/>
      <c r="S51" s="3"/>
      <c r="T51" s="3"/>
      <c r="U51" s="11"/>
    </row>
    <row r="52" spans="2:21" x14ac:dyDescent="0.25">
      <c r="B52" s="10"/>
      <c r="C52" s="231" t="s">
        <v>30</v>
      </c>
      <c r="D52" s="595">
        <f>K14</f>
        <v>21.788774</v>
      </c>
      <c r="E52" s="596">
        <f>F38</f>
        <v>0</v>
      </c>
      <c r="F52" s="597">
        <f t="shared" si="1"/>
        <v>0</v>
      </c>
      <c r="G52" s="597">
        <f t="shared" si="2"/>
        <v>0</v>
      </c>
      <c r="H52" s="598"/>
      <c r="I52" s="569"/>
      <c r="J52" s="3"/>
      <c r="K52" s="3"/>
      <c r="L52" s="82"/>
      <c r="M52" s="3"/>
      <c r="N52" s="3"/>
      <c r="O52" s="3"/>
      <c r="P52" s="3"/>
      <c r="Q52" s="3"/>
      <c r="R52" s="3"/>
      <c r="S52" s="3"/>
      <c r="T52" s="3"/>
      <c r="U52" s="11"/>
    </row>
    <row r="53" spans="2:21" x14ac:dyDescent="0.25">
      <c r="B53" s="10"/>
      <c r="C53" s="231" t="s">
        <v>100</v>
      </c>
      <c r="D53" s="595">
        <f>SUM(D46:D51)</f>
        <v>6831.9879880000008</v>
      </c>
      <c r="E53" s="596"/>
      <c r="F53" s="599">
        <f>SUM(F46:F52)</f>
        <v>3703.9361613333335</v>
      </c>
      <c r="G53" s="599">
        <f>SUM(G46:G52)</f>
        <v>2491.4944452222226</v>
      </c>
      <c r="H53" s="600">
        <f>F53^2/G53</f>
        <v>5506.3911996837969</v>
      </c>
      <c r="I53" s="600"/>
      <c r="J53" s="3"/>
      <c r="K53" s="3"/>
      <c r="L53" s="82"/>
      <c r="M53" s="3"/>
      <c r="N53" s="3"/>
      <c r="O53" s="3"/>
      <c r="P53" s="3"/>
      <c r="Q53" s="3"/>
      <c r="R53" s="3"/>
      <c r="S53" s="3"/>
      <c r="T53" s="3"/>
      <c r="U53" s="11"/>
    </row>
    <row r="54" spans="2:21" x14ac:dyDescent="0.25">
      <c r="B54" s="10"/>
      <c r="C54" s="3"/>
      <c r="D54" s="3"/>
      <c r="E54" s="3"/>
      <c r="F54" s="3"/>
      <c r="G54" s="82"/>
      <c r="H54" s="82"/>
      <c r="I54" s="3"/>
      <c r="J54" s="3"/>
      <c r="K54" s="3"/>
      <c r="L54" s="82"/>
      <c r="M54" s="3"/>
      <c r="N54" s="3"/>
      <c r="O54" s="3"/>
      <c r="P54" s="3"/>
      <c r="Q54" s="3"/>
      <c r="R54" s="3"/>
      <c r="S54" s="3"/>
      <c r="T54" s="3"/>
      <c r="U54" s="11"/>
    </row>
    <row r="55" spans="2:21" x14ac:dyDescent="0.25">
      <c r="B55" s="10"/>
      <c r="C55" s="3"/>
      <c r="D55" s="3"/>
      <c r="E55" s="3"/>
      <c r="F55" s="3"/>
      <c r="G55" s="82"/>
      <c r="H55" s="82"/>
      <c r="I55" s="3"/>
      <c r="J55" s="3"/>
      <c r="K55" s="3"/>
      <c r="L55" s="82"/>
      <c r="M55" s="3"/>
      <c r="N55" s="3"/>
      <c r="O55" s="3"/>
      <c r="P55" s="3"/>
      <c r="Q55" s="3"/>
      <c r="R55" s="3"/>
      <c r="S55" s="3"/>
      <c r="T55" s="3"/>
      <c r="U55" s="11"/>
    </row>
    <row r="56" spans="2:21" x14ac:dyDescent="0.25">
      <c r="B56" s="10"/>
      <c r="C56" s="270" t="s">
        <v>182</v>
      </c>
      <c r="D56" s="270"/>
      <c r="E56" s="270"/>
      <c r="F56" s="270"/>
      <c r="G56" s="270"/>
      <c r="H56" s="270"/>
      <c r="I56" s="3"/>
      <c r="J56" s="3"/>
      <c r="K56" s="3"/>
      <c r="L56" s="82"/>
      <c r="M56" s="3"/>
      <c r="N56" s="3"/>
      <c r="O56" s="3"/>
      <c r="P56" s="3"/>
      <c r="Q56" s="3"/>
      <c r="R56" s="3"/>
      <c r="S56" s="3"/>
      <c r="T56" s="3"/>
      <c r="U56" s="11"/>
    </row>
    <row r="57" spans="2:21" x14ac:dyDescent="0.25">
      <c r="B57" s="10"/>
      <c r="C57" s="214" t="s">
        <v>259</v>
      </c>
      <c r="D57" s="601">
        <f>F53^2/G53</f>
        <v>5506.3911996837969</v>
      </c>
      <c r="E57" s="602" t="s">
        <v>11</v>
      </c>
      <c r="F57" s="603" t="s">
        <v>257</v>
      </c>
      <c r="G57" s="604"/>
      <c r="H57" s="604" t="s">
        <v>254</v>
      </c>
      <c r="I57" s="3"/>
      <c r="J57" s="3"/>
      <c r="K57" s="3"/>
      <c r="L57" s="82"/>
      <c r="M57" s="3"/>
      <c r="N57" s="3"/>
      <c r="O57" s="3"/>
      <c r="P57" s="3"/>
      <c r="Q57" s="3"/>
      <c r="R57" s="230"/>
      <c r="S57" s="3"/>
      <c r="T57" s="3"/>
      <c r="U57" s="11"/>
    </row>
    <row r="58" spans="2:21" x14ac:dyDescent="0.25">
      <c r="B58" s="10"/>
      <c r="C58" s="214" t="s">
        <v>256</v>
      </c>
      <c r="D58" s="605">
        <f>D57/D53</f>
        <v>0.80597202591038808</v>
      </c>
      <c r="E58" s="602" t="s">
        <v>26</v>
      </c>
      <c r="F58" s="603"/>
      <c r="G58" s="604"/>
      <c r="H58" s="604"/>
      <c r="I58" s="3"/>
      <c r="J58" s="3"/>
      <c r="K58" s="3"/>
      <c r="L58" s="82"/>
      <c r="M58" s="3"/>
      <c r="N58" s="3"/>
      <c r="O58" s="3"/>
      <c r="P58" s="3"/>
      <c r="Q58" s="3"/>
      <c r="R58" s="230"/>
      <c r="S58" s="3"/>
      <c r="T58" s="3"/>
      <c r="U58" s="11"/>
    </row>
    <row r="59" spans="2:21" x14ac:dyDescent="0.25">
      <c r="B59" s="10"/>
      <c r="C59" s="213" t="s">
        <v>260</v>
      </c>
      <c r="D59" s="606">
        <f>D57/F53</f>
        <v>1.4866323175779628</v>
      </c>
      <c r="E59" s="371"/>
      <c r="F59" s="496" t="s">
        <v>258</v>
      </c>
      <c r="G59" s="607"/>
      <c r="H59" s="607" t="s">
        <v>255</v>
      </c>
      <c r="I59" s="3"/>
      <c r="J59" s="3"/>
      <c r="K59" s="3"/>
      <c r="L59" s="82"/>
      <c r="M59" s="3"/>
      <c r="N59" s="3"/>
      <c r="O59" s="3"/>
      <c r="P59" s="3"/>
      <c r="Q59" s="3"/>
      <c r="R59" s="230"/>
      <c r="S59" s="3"/>
      <c r="T59" s="3"/>
      <c r="U59" s="11"/>
    </row>
    <row r="60" spans="2:21" x14ac:dyDescent="0.25">
      <c r="B60" s="10"/>
      <c r="C60" s="3"/>
      <c r="D60" s="3"/>
      <c r="E60" s="3"/>
      <c r="F60" s="3"/>
      <c r="G60" s="82"/>
      <c r="H60" s="82"/>
      <c r="I60" s="3"/>
      <c r="J60" s="3"/>
      <c r="K60" s="3"/>
      <c r="L60" s="82"/>
      <c r="M60" s="3"/>
      <c r="N60" s="3"/>
      <c r="O60" s="3"/>
      <c r="P60" s="3"/>
      <c r="Q60" s="3"/>
      <c r="R60" s="230"/>
      <c r="S60" s="3"/>
      <c r="T60" s="3"/>
      <c r="U60" s="11"/>
    </row>
    <row r="61" spans="2:21" x14ac:dyDescent="0.25">
      <c r="B61" s="10"/>
      <c r="C61" s="3"/>
      <c r="D61" s="3"/>
      <c r="E61" s="3"/>
      <c r="F61" s="3"/>
      <c r="G61" s="82"/>
      <c r="H61" s="82"/>
      <c r="I61" s="3"/>
      <c r="J61" s="3"/>
      <c r="K61" s="3"/>
      <c r="L61" s="82"/>
      <c r="M61" s="3"/>
      <c r="N61" s="3"/>
      <c r="O61" s="3"/>
      <c r="P61" s="3"/>
      <c r="Q61" s="3"/>
      <c r="R61" s="230"/>
      <c r="S61" s="3"/>
      <c r="T61" s="3"/>
      <c r="U61" s="11"/>
    </row>
    <row r="62" spans="2:21" x14ac:dyDescent="0.25">
      <c r="B62" s="10"/>
      <c r="C62" s="277" t="s">
        <v>476</v>
      </c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11"/>
    </row>
    <row r="63" spans="2:21" x14ac:dyDescent="0.25">
      <c r="B63" s="10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11"/>
    </row>
    <row r="64" spans="2:21" x14ac:dyDescent="0.25">
      <c r="B64" s="10"/>
      <c r="C64" s="3"/>
      <c r="D64" s="3"/>
      <c r="E64" s="3"/>
      <c r="F64" s="3"/>
      <c r="G64" s="3"/>
      <c r="H64" s="82"/>
      <c r="I64" s="82"/>
      <c r="J64" s="3"/>
      <c r="K64" s="3"/>
      <c r="L64" s="3"/>
      <c r="M64" s="82"/>
      <c r="N64" s="3"/>
      <c r="O64" s="3"/>
      <c r="P64" s="3"/>
      <c r="Q64" s="3"/>
      <c r="R64" s="3"/>
      <c r="S64" s="3"/>
      <c r="T64" s="3"/>
      <c r="U64" s="11"/>
    </row>
    <row r="65" spans="2:21" x14ac:dyDescent="0.25">
      <c r="B65" s="10"/>
      <c r="C65" s="3"/>
      <c r="D65" s="250" t="s">
        <v>12</v>
      </c>
      <c r="E65" s="250"/>
      <c r="F65" s="250"/>
      <c r="G65" s="250" t="s">
        <v>13</v>
      </c>
      <c r="H65" s="250"/>
      <c r="I65" s="250"/>
      <c r="J65" s="211"/>
      <c r="K65" s="3"/>
      <c r="L65" s="3"/>
      <c r="M65" s="82"/>
      <c r="N65" s="3"/>
      <c r="O65" s="3"/>
      <c r="P65" s="3"/>
      <c r="Q65" s="3"/>
      <c r="R65" s="3"/>
      <c r="S65" s="3"/>
      <c r="T65" s="3"/>
      <c r="U65" s="11"/>
    </row>
    <row r="66" spans="2:21" x14ac:dyDescent="0.25">
      <c r="B66" s="10"/>
      <c r="C66" s="3"/>
      <c r="D66" s="608" t="s">
        <v>307</v>
      </c>
      <c r="E66" s="138">
        <f>T7</f>
        <v>3.2549999999999999</v>
      </c>
      <c r="F66" s="136" t="s">
        <v>50</v>
      </c>
      <c r="G66" s="608" t="s">
        <v>310</v>
      </c>
      <c r="H66" s="144">
        <f>T8</f>
        <v>2.2320000000000002</v>
      </c>
      <c r="I66" s="155" t="s">
        <v>50</v>
      </c>
      <c r="J66" s="552"/>
      <c r="K66" s="3"/>
      <c r="L66" s="3"/>
      <c r="M66" s="82"/>
      <c r="N66" s="3"/>
      <c r="O66" s="3"/>
      <c r="P66" s="3"/>
      <c r="Q66" s="3"/>
      <c r="R66" s="3"/>
      <c r="S66" s="3"/>
      <c r="T66" s="3"/>
      <c r="U66" s="11"/>
    </row>
    <row r="67" spans="2:21" x14ac:dyDescent="0.25">
      <c r="B67" s="10"/>
      <c r="C67" s="3"/>
      <c r="D67" s="608" t="s">
        <v>300</v>
      </c>
      <c r="E67" s="138">
        <f>2*PI()/E66</f>
        <v>1.9303180667218391</v>
      </c>
      <c r="F67" s="136" t="s">
        <v>113</v>
      </c>
      <c r="G67" s="608" t="s">
        <v>301</v>
      </c>
      <c r="H67" s="144">
        <f>2*PI()/H66</f>
        <v>2.8150471806360149</v>
      </c>
      <c r="I67" s="155" t="s">
        <v>113</v>
      </c>
      <c r="J67" s="552"/>
      <c r="K67" s="3"/>
      <c r="L67" s="3"/>
      <c r="M67" s="82"/>
      <c r="N67" s="3"/>
      <c r="O67" s="3"/>
      <c r="P67" s="3"/>
      <c r="Q67" s="3"/>
      <c r="R67" s="3"/>
      <c r="S67" s="3"/>
      <c r="T67" s="3"/>
      <c r="U67" s="11"/>
    </row>
    <row r="68" spans="2:21" x14ac:dyDescent="0.25">
      <c r="B68" s="10"/>
      <c r="C68" s="3"/>
      <c r="D68" s="608" t="s">
        <v>308</v>
      </c>
      <c r="E68" s="188">
        <f>LOOKUP(E66,'1.1 Espectro de Diseño'!$D$60:$D$860,'1.1 Espectro de Diseño'!$H$60:$H$860)</f>
        <v>0.18461538461538457</v>
      </c>
      <c r="F68" s="136" t="s">
        <v>52</v>
      </c>
      <c r="G68" s="608" t="s">
        <v>311</v>
      </c>
      <c r="H68" s="609">
        <f>LOOKUP(H66,'1.1 Espectro de Diseño'!$D$60:$D$860,'1.1 Espectro de Diseño'!$H$60:$H$860)</f>
        <v>0.2690582959641255</v>
      </c>
      <c r="I68" s="155" t="s">
        <v>52</v>
      </c>
      <c r="J68" s="552"/>
      <c r="K68" s="3"/>
      <c r="L68" s="3"/>
      <c r="M68" s="82"/>
      <c r="N68" s="3"/>
      <c r="O68" s="3"/>
      <c r="P68" s="3"/>
      <c r="Q68" s="3"/>
      <c r="R68" s="3"/>
      <c r="S68" s="3"/>
      <c r="T68" s="3"/>
      <c r="U68" s="11"/>
    </row>
    <row r="69" spans="2:21" x14ac:dyDescent="0.25">
      <c r="B69" s="10"/>
      <c r="C69" s="3"/>
      <c r="D69" s="610" t="s">
        <v>309</v>
      </c>
      <c r="E69" s="140">
        <f>E68*F16/E67^2</f>
        <v>19.135747390420288</v>
      </c>
      <c r="F69" s="141" t="s">
        <v>479</v>
      </c>
      <c r="G69" s="610" t="s">
        <v>312</v>
      </c>
      <c r="H69" s="611">
        <f>H68*F16/H67^2</f>
        <v>13.113249424312912</v>
      </c>
      <c r="I69" s="612" t="s">
        <v>479</v>
      </c>
      <c r="J69" s="613" t="s">
        <v>261</v>
      </c>
      <c r="K69" s="3"/>
      <c r="L69" s="3"/>
      <c r="M69" s="82"/>
      <c r="N69" s="3"/>
      <c r="O69" s="3"/>
      <c r="P69" s="3"/>
      <c r="Q69" s="3"/>
      <c r="R69" s="3"/>
      <c r="S69" s="3"/>
      <c r="T69" s="3"/>
      <c r="U69" s="11"/>
    </row>
    <row r="70" spans="2:21" x14ac:dyDescent="0.25">
      <c r="B70" s="10"/>
      <c r="C70" s="3"/>
      <c r="D70" s="3"/>
      <c r="E70" s="3"/>
      <c r="F70" s="3"/>
      <c r="G70" s="3"/>
      <c r="H70" s="82"/>
      <c r="I70" s="82"/>
      <c r="J70" s="3"/>
      <c r="K70" s="3"/>
      <c r="L70" s="3"/>
      <c r="M70" s="82"/>
      <c r="N70" s="3"/>
      <c r="O70" s="3"/>
      <c r="P70" s="3"/>
      <c r="Q70" s="3"/>
      <c r="R70" s="3"/>
      <c r="S70" s="3"/>
      <c r="T70" s="3"/>
      <c r="U70" s="11"/>
    </row>
    <row r="71" spans="2:21" x14ac:dyDescent="0.25">
      <c r="B71" s="10"/>
      <c r="C71" s="3"/>
      <c r="D71" s="3"/>
      <c r="E71" s="3"/>
      <c r="F71" s="3"/>
      <c r="G71" s="3"/>
      <c r="H71" s="82"/>
      <c r="I71" s="82"/>
      <c r="J71" s="3"/>
      <c r="K71" s="3"/>
      <c r="L71" s="3"/>
      <c r="M71" s="82"/>
      <c r="N71" s="3"/>
      <c r="O71" s="3"/>
      <c r="P71" s="3"/>
      <c r="Q71" s="3"/>
      <c r="R71" s="3"/>
      <c r="S71" s="3"/>
      <c r="T71" s="3"/>
      <c r="U71" s="11"/>
    </row>
    <row r="72" spans="2:21" x14ac:dyDescent="0.25">
      <c r="B72" s="10"/>
      <c r="C72" s="3"/>
      <c r="D72" s="270" t="s">
        <v>477</v>
      </c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3"/>
      <c r="R72" s="3"/>
      <c r="S72" s="3"/>
      <c r="T72" s="3"/>
      <c r="U72" s="11"/>
    </row>
    <row r="73" spans="2:21" ht="18" customHeight="1" x14ac:dyDescent="0.25">
      <c r="B73" s="10"/>
      <c r="C73" s="3"/>
      <c r="D73" s="268" t="s">
        <v>22</v>
      </c>
      <c r="E73" s="222" t="s">
        <v>297</v>
      </c>
      <c r="F73" s="222" t="s">
        <v>275</v>
      </c>
      <c r="G73" s="614" t="s">
        <v>116</v>
      </c>
      <c r="H73" s="615" t="s">
        <v>273</v>
      </c>
      <c r="I73" s="268" t="s">
        <v>117</v>
      </c>
      <c r="J73" s="268" t="s">
        <v>274</v>
      </c>
      <c r="K73" s="222" t="s">
        <v>276</v>
      </c>
      <c r="L73" s="268" t="s">
        <v>277</v>
      </c>
      <c r="M73" s="268" t="s">
        <v>115</v>
      </c>
      <c r="N73" s="222" t="s">
        <v>279</v>
      </c>
      <c r="O73" s="268" t="s">
        <v>280</v>
      </c>
      <c r="P73" s="212" t="s">
        <v>270</v>
      </c>
      <c r="Q73" s="3"/>
      <c r="R73" s="3"/>
      <c r="S73" s="3"/>
      <c r="T73" s="3"/>
      <c r="U73" s="11"/>
    </row>
    <row r="74" spans="2:21" ht="12" customHeight="1" x14ac:dyDescent="0.25">
      <c r="B74" s="10"/>
      <c r="C74" s="3"/>
      <c r="D74" s="269"/>
      <c r="E74" s="616" t="s">
        <v>250</v>
      </c>
      <c r="F74" s="616" t="s">
        <v>269</v>
      </c>
      <c r="G74" s="315"/>
      <c r="H74" s="616" t="s">
        <v>271</v>
      </c>
      <c r="I74" s="269"/>
      <c r="J74" s="269"/>
      <c r="K74" s="616" t="s">
        <v>272</v>
      </c>
      <c r="L74" s="269"/>
      <c r="M74" s="269"/>
      <c r="N74" s="616" t="s">
        <v>278</v>
      </c>
      <c r="O74" s="269"/>
      <c r="P74" s="617" t="s">
        <v>281</v>
      </c>
      <c r="Q74" s="3"/>
      <c r="R74" s="3"/>
      <c r="S74" s="3"/>
      <c r="T74" s="3"/>
      <c r="U74" s="11"/>
    </row>
    <row r="75" spans="2:21" ht="15" customHeight="1" x14ac:dyDescent="0.25">
      <c r="B75" s="10"/>
      <c r="C75" s="3"/>
      <c r="D75" s="147" t="s">
        <v>14</v>
      </c>
      <c r="E75" s="162">
        <f>F32</f>
        <v>1</v>
      </c>
      <c r="F75" s="618">
        <f t="shared" ref="F75:F80" si="3">$E$69*E75</f>
        <v>19.135747390420288</v>
      </c>
      <c r="G75" s="618">
        <f>F75-F76</f>
        <v>3.1892912317367141</v>
      </c>
      <c r="H75" s="618">
        <f t="shared" ref="H75:H80" si="4">G75*$E$67*COS($E$67*$E$66)</f>
        <v>6.1563464846589273</v>
      </c>
      <c r="I75" s="205">
        <f>K8</f>
        <v>598.32365600000003</v>
      </c>
      <c r="J75" s="618">
        <v>1</v>
      </c>
      <c r="K75" s="590">
        <f t="shared" ref="K75:K80" si="5">I75*E75*J75*$E$68</f>
        <v>110.45975187692305</v>
      </c>
      <c r="L75" s="229">
        <f t="shared" ref="L75:L80" si="6">1/2*K75*F75</f>
        <v>1056.8649543626514</v>
      </c>
      <c r="M75" s="590">
        <f>'2. Propiedades de Disipador'!M82</f>
        <v>27.586206896551722</v>
      </c>
      <c r="N75" s="590">
        <f t="shared" ref="N75:N80" si="7">M75*H75</f>
        <v>169.83024785266005</v>
      </c>
      <c r="O75" s="229">
        <f t="shared" ref="O75:O80" si="8">PI()*G75*N75</f>
        <v>1701.6063398276681</v>
      </c>
      <c r="P75" s="619">
        <f>O81/(4*PI()*L81)</f>
        <v>0.2884544618828388</v>
      </c>
      <c r="Q75" s="3"/>
      <c r="R75" s="3"/>
      <c r="S75" s="3"/>
      <c r="T75" s="3"/>
      <c r="U75" s="11"/>
    </row>
    <row r="76" spans="2:21" ht="15" customHeight="1" x14ac:dyDescent="0.25">
      <c r="B76" s="10"/>
      <c r="C76" s="3"/>
      <c r="D76" s="230" t="s">
        <v>147</v>
      </c>
      <c r="E76" s="166">
        <f>F33</f>
        <v>0.83333333333333337</v>
      </c>
      <c r="F76" s="620">
        <f t="shared" si="3"/>
        <v>15.946456158683574</v>
      </c>
      <c r="G76" s="620">
        <f>F76-F77</f>
        <v>3.1892912317367159</v>
      </c>
      <c r="H76" s="620">
        <f t="shared" si="4"/>
        <v>6.1563464846589309</v>
      </c>
      <c r="I76" s="206">
        <f>K9</f>
        <v>1232.5696320000002</v>
      </c>
      <c r="J76" s="620">
        <v>1</v>
      </c>
      <c r="K76" s="167">
        <f t="shared" si="5"/>
        <v>189.62609723076923</v>
      </c>
      <c r="L76" s="219">
        <f t="shared" si="6"/>
        <v>1511.932123016365</v>
      </c>
      <c r="M76" s="167">
        <f>'2. Propiedades de Disipador'!M83</f>
        <v>27.586206896551722</v>
      </c>
      <c r="N76" s="167">
        <f t="shared" si="7"/>
        <v>169.83024785266016</v>
      </c>
      <c r="O76" s="219">
        <f t="shared" si="8"/>
        <v>1701.6063398276701</v>
      </c>
      <c r="P76" s="621"/>
      <c r="Q76" s="3"/>
      <c r="R76" s="3"/>
      <c r="S76" s="3"/>
      <c r="T76" s="3"/>
      <c r="U76" s="11"/>
    </row>
    <row r="77" spans="2:21" ht="15" customHeight="1" x14ac:dyDescent="0.25">
      <c r="B77" s="10"/>
      <c r="C77" s="3"/>
      <c r="D77" s="230" t="s">
        <v>17</v>
      </c>
      <c r="E77" s="166">
        <f>F34</f>
        <v>0.66666666666666663</v>
      </c>
      <c r="F77" s="620">
        <f t="shared" si="3"/>
        <v>12.757164926946858</v>
      </c>
      <c r="G77" s="620">
        <f>F77-F78</f>
        <v>3.1892912317367141</v>
      </c>
      <c r="H77" s="620">
        <f t="shared" si="4"/>
        <v>6.1563464846589273</v>
      </c>
      <c r="I77" s="206">
        <f>K10</f>
        <v>1238.7043760000001</v>
      </c>
      <c r="J77" s="620">
        <v>1</v>
      </c>
      <c r="K77" s="167">
        <f t="shared" si="5"/>
        <v>152.45592319999997</v>
      </c>
      <c r="L77" s="219">
        <f t="shared" si="6"/>
        <v>972.45267817617173</v>
      </c>
      <c r="M77" s="167">
        <f>'2. Propiedades de Disipador'!M84</f>
        <v>27.586206896551722</v>
      </c>
      <c r="N77" s="167">
        <f t="shared" si="7"/>
        <v>169.83024785266005</v>
      </c>
      <c r="O77" s="219">
        <f t="shared" si="8"/>
        <v>1701.6063398276681</v>
      </c>
      <c r="P77" s="621"/>
      <c r="Q77" s="3"/>
      <c r="R77" s="3"/>
      <c r="S77" s="3"/>
      <c r="T77" s="3"/>
      <c r="U77" s="11"/>
    </row>
    <row r="78" spans="2:21" ht="15" customHeight="1" x14ac:dyDescent="0.25">
      <c r="B78" s="10"/>
      <c r="C78" s="3"/>
      <c r="D78" s="230" t="s">
        <v>18</v>
      </c>
      <c r="E78" s="166">
        <f>F35</f>
        <v>0.5</v>
      </c>
      <c r="F78" s="620">
        <f t="shared" si="3"/>
        <v>9.5678736952101442</v>
      </c>
      <c r="G78" s="620">
        <f>F78-F79</f>
        <v>3.189291231736715</v>
      </c>
      <c r="H78" s="620">
        <f t="shared" si="4"/>
        <v>6.1563464846589291</v>
      </c>
      <c r="I78" s="206">
        <f>K11</f>
        <v>1248.6950700000002</v>
      </c>
      <c r="J78" s="620">
        <v>1</v>
      </c>
      <c r="K78" s="167">
        <f t="shared" si="5"/>
        <v>115.26416030769229</v>
      </c>
      <c r="L78" s="219">
        <f t="shared" si="6"/>
        <v>551.41646370422711</v>
      </c>
      <c r="M78" s="167">
        <f>'2. Propiedades de Disipador'!M85</f>
        <v>58.620689655172413</v>
      </c>
      <c r="N78" s="167">
        <f t="shared" si="7"/>
        <v>360.88927668690275</v>
      </c>
      <c r="O78" s="219">
        <f t="shared" si="8"/>
        <v>3615.9134721337964</v>
      </c>
      <c r="P78" s="621"/>
      <c r="Q78" s="3"/>
      <c r="R78" s="3"/>
      <c r="S78" s="3"/>
      <c r="T78" s="3"/>
      <c r="U78" s="11"/>
    </row>
    <row r="79" spans="2:21" ht="15" customHeight="1" x14ac:dyDescent="0.25">
      <c r="B79" s="10"/>
      <c r="C79" s="3"/>
      <c r="D79" s="230" t="s">
        <v>19</v>
      </c>
      <c r="E79" s="166">
        <f>F36</f>
        <v>0.33333333333333331</v>
      </c>
      <c r="F79" s="620">
        <f t="shared" si="3"/>
        <v>6.3785824634734292</v>
      </c>
      <c r="G79" s="620">
        <f>F79-F80</f>
        <v>3.1892912317367146</v>
      </c>
      <c r="H79" s="620">
        <f t="shared" si="4"/>
        <v>6.1563464846589282</v>
      </c>
      <c r="I79" s="206">
        <f>K12</f>
        <v>1256.2289040000001</v>
      </c>
      <c r="J79" s="620">
        <v>1</v>
      </c>
      <c r="K79" s="167">
        <f t="shared" si="5"/>
        <v>77.30639409230767</v>
      </c>
      <c r="L79" s="219">
        <f t="shared" si="6"/>
        <v>246.55260483577982</v>
      </c>
      <c r="M79" s="167">
        <f>'2. Propiedades de Disipador'!M86</f>
        <v>58.620689655172413</v>
      </c>
      <c r="N79" s="167">
        <f t="shared" si="7"/>
        <v>360.88927668690269</v>
      </c>
      <c r="O79" s="219">
        <f t="shared" si="8"/>
        <v>3615.9134721337959</v>
      </c>
      <c r="P79" s="621"/>
      <c r="Q79" s="3"/>
      <c r="R79" s="3"/>
      <c r="S79" s="3"/>
      <c r="T79" s="3"/>
      <c r="U79" s="11"/>
    </row>
    <row r="80" spans="2:21" ht="15" customHeight="1" x14ac:dyDescent="0.25">
      <c r="B80" s="10"/>
      <c r="C80" s="3"/>
      <c r="D80" s="231" t="s">
        <v>16</v>
      </c>
      <c r="E80" s="554">
        <f>F37</f>
        <v>0.16666666666666666</v>
      </c>
      <c r="F80" s="622">
        <f t="shared" si="3"/>
        <v>3.1892912317367146</v>
      </c>
      <c r="G80" s="622">
        <f>F80</f>
        <v>3.1892912317367146</v>
      </c>
      <c r="H80" s="622">
        <f t="shared" si="4"/>
        <v>6.1563464846589282</v>
      </c>
      <c r="I80" s="623">
        <f>K13</f>
        <v>1257.4663500000001</v>
      </c>
      <c r="J80" s="622">
        <v>1</v>
      </c>
      <c r="K80" s="569">
        <f t="shared" si="5"/>
        <v>38.691272307692302</v>
      </c>
      <c r="L80" s="624">
        <f t="shared" si="6"/>
        <v>61.698867757830307</v>
      </c>
      <c r="M80" s="569">
        <f>'2. Propiedades de Disipador'!M87</f>
        <v>58.620689655172413</v>
      </c>
      <c r="N80" s="569">
        <f t="shared" si="7"/>
        <v>360.88927668690269</v>
      </c>
      <c r="O80" s="624">
        <f t="shared" si="8"/>
        <v>3615.9134721337959</v>
      </c>
      <c r="P80" s="625"/>
      <c r="Q80" s="3"/>
      <c r="R80" s="3"/>
      <c r="S80" s="3"/>
      <c r="T80" s="3"/>
      <c r="U80" s="11"/>
    </row>
    <row r="81" spans="2:21" ht="15" customHeight="1" x14ac:dyDescent="0.25">
      <c r="B81" s="10"/>
      <c r="C81" s="3"/>
      <c r="D81" s="223" t="s">
        <v>100</v>
      </c>
      <c r="E81" s="231"/>
      <c r="F81" s="231"/>
      <c r="G81" s="569"/>
      <c r="H81" s="569"/>
      <c r="I81" s="231"/>
      <c r="J81" s="231"/>
      <c r="K81" s="231"/>
      <c r="L81" s="624">
        <f>SUM(L75:L80)</f>
        <v>4400.9176918530256</v>
      </c>
      <c r="M81" s="569"/>
      <c r="N81" s="569"/>
      <c r="O81" s="624">
        <f>SUM(O75:O80)</f>
        <v>15952.559435884395</v>
      </c>
      <c r="P81" s="626"/>
      <c r="Q81" s="3"/>
      <c r="R81" s="3"/>
      <c r="S81" s="3"/>
      <c r="T81" s="3"/>
      <c r="U81" s="11"/>
    </row>
    <row r="82" spans="2:21" ht="15" customHeight="1" x14ac:dyDescent="0.25">
      <c r="B82" s="10"/>
      <c r="C82" s="3"/>
      <c r="D82" s="194"/>
      <c r="E82" s="230"/>
      <c r="F82" s="230"/>
      <c r="G82" s="167"/>
      <c r="H82" s="167"/>
      <c r="I82" s="230"/>
      <c r="J82" s="230"/>
      <c r="K82" s="230"/>
      <c r="L82" s="219"/>
      <c r="M82" s="167"/>
      <c r="N82" s="167"/>
      <c r="O82" s="219"/>
      <c r="P82" s="627"/>
      <c r="Q82" s="3"/>
      <c r="R82" s="3"/>
      <c r="S82" s="3"/>
      <c r="T82" s="3"/>
      <c r="U82" s="11"/>
    </row>
    <row r="83" spans="2:21" x14ac:dyDescent="0.25">
      <c r="B83" s="10"/>
      <c r="C83" s="3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3"/>
      <c r="R83" s="3"/>
      <c r="S83" s="3"/>
      <c r="T83" s="3"/>
      <c r="U83" s="11"/>
    </row>
    <row r="84" spans="2:21" x14ac:dyDescent="0.25">
      <c r="B84" s="10"/>
      <c r="C84" s="3"/>
      <c r="D84" s="628" t="s">
        <v>478</v>
      </c>
      <c r="E84" s="628"/>
      <c r="F84" s="628"/>
      <c r="G84" s="628"/>
      <c r="H84" s="628"/>
      <c r="I84" s="628"/>
      <c r="J84" s="628"/>
      <c r="K84" s="628"/>
      <c r="L84" s="628"/>
      <c r="M84" s="628"/>
      <c r="N84" s="628"/>
      <c r="O84" s="628"/>
      <c r="P84" s="628"/>
      <c r="Q84" s="3"/>
      <c r="R84" s="3"/>
      <c r="S84" s="3"/>
      <c r="T84" s="3"/>
      <c r="U84" s="11"/>
    </row>
    <row r="85" spans="2:21" x14ac:dyDescent="0.25">
      <c r="B85" s="10"/>
      <c r="C85" s="3"/>
      <c r="D85" s="629" t="s">
        <v>22</v>
      </c>
      <c r="E85" s="630" t="s">
        <v>297</v>
      </c>
      <c r="F85" s="630" t="s">
        <v>275</v>
      </c>
      <c r="G85" s="631" t="s">
        <v>116</v>
      </c>
      <c r="H85" s="632" t="s">
        <v>273</v>
      </c>
      <c r="I85" s="629" t="s">
        <v>117</v>
      </c>
      <c r="J85" s="629" t="s">
        <v>274</v>
      </c>
      <c r="K85" s="630" t="s">
        <v>276</v>
      </c>
      <c r="L85" s="629" t="s">
        <v>277</v>
      </c>
      <c r="M85" s="629" t="s">
        <v>115</v>
      </c>
      <c r="N85" s="630" t="s">
        <v>279</v>
      </c>
      <c r="O85" s="629" t="s">
        <v>280</v>
      </c>
      <c r="P85" s="633" t="s">
        <v>270</v>
      </c>
      <c r="Q85" s="3"/>
      <c r="R85" s="3"/>
      <c r="S85" s="3"/>
      <c r="T85" s="3"/>
      <c r="U85" s="11"/>
    </row>
    <row r="86" spans="2:21" ht="12.75" customHeight="1" x14ac:dyDescent="0.25">
      <c r="B86" s="10"/>
      <c r="C86" s="3"/>
      <c r="D86" s="634"/>
      <c r="E86" s="635" t="s">
        <v>250</v>
      </c>
      <c r="F86" s="635" t="s">
        <v>269</v>
      </c>
      <c r="G86" s="636"/>
      <c r="H86" s="635" t="s">
        <v>271</v>
      </c>
      <c r="I86" s="634"/>
      <c r="J86" s="634"/>
      <c r="K86" s="635" t="s">
        <v>272</v>
      </c>
      <c r="L86" s="634"/>
      <c r="M86" s="634"/>
      <c r="N86" s="635" t="s">
        <v>278</v>
      </c>
      <c r="O86" s="634"/>
      <c r="P86" s="637" t="s">
        <v>281</v>
      </c>
      <c r="Q86" s="3"/>
      <c r="R86" s="3"/>
      <c r="S86" s="3"/>
      <c r="T86" s="3"/>
      <c r="U86" s="11"/>
    </row>
    <row r="87" spans="2:21" ht="15" customHeight="1" x14ac:dyDescent="0.25">
      <c r="B87" s="10"/>
      <c r="C87" s="3"/>
      <c r="D87" s="205" t="s">
        <v>14</v>
      </c>
      <c r="E87" s="205">
        <v>1</v>
      </c>
      <c r="F87" s="205">
        <f t="shared" ref="F87:F92" si="9">$H$69*E87</f>
        <v>13.113249424312912</v>
      </c>
      <c r="G87" s="205">
        <f>F87-F88</f>
        <v>2.1855415707188186</v>
      </c>
      <c r="H87" s="205">
        <f t="shared" ref="H87:H92" si="10">G87*$H$67*COS($H$67*$H$66)</f>
        <v>6.1524026368148181</v>
      </c>
      <c r="I87" s="205">
        <f>K8</f>
        <v>598.32365600000003</v>
      </c>
      <c r="J87" s="205">
        <v>1</v>
      </c>
      <c r="K87" s="205">
        <v>179</v>
      </c>
      <c r="L87" s="229">
        <f t="shared" ref="L87:L92" si="11">1/2*K87*F87</f>
        <v>1173.6358234760055</v>
      </c>
      <c r="M87" s="205">
        <f>'2. Propiedades de Disipador'!N82</f>
        <v>34.482758620689651</v>
      </c>
      <c r="N87" s="205">
        <f t="shared" ref="N87:N92" si="12">M87*H87</f>
        <v>212.15181506257991</v>
      </c>
      <c r="O87" s="229">
        <f t="shared" ref="O87:O92" si="13">PI()*G87*N87</f>
        <v>1456.6516192180102</v>
      </c>
      <c r="P87" s="619">
        <f>O93/(4*PI()*L93)</f>
        <v>0.21816342956618134</v>
      </c>
      <c r="Q87" s="3"/>
      <c r="R87" s="3"/>
      <c r="S87" s="3"/>
      <c r="T87" s="3"/>
      <c r="U87" s="11"/>
    </row>
    <row r="88" spans="2:21" ht="15" customHeight="1" x14ac:dyDescent="0.25">
      <c r="B88" s="10"/>
      <c r="C88" s="3"/>
      <c r="D88" s="206" t="s">
        <v>147</v>
      </c>
      <c r="E88" s="206">
        <v>0.83333333333333337</v>
      </c>
      <c r="F88" s="206">
        <f t="shared" si="9"/>
        <v>10.927707853594093</v>
      </c>
      <c r="G88" s="206">
        <f>F88-F89</f>
        <v>2.1855415707188186</v>
      </c>
      <c r="H88" s="206">
        <f t="shared" si="10"/>
        <v>6.1524026368148181</v>
      </c>
      <c r="I88" s="206">
        <f>K9</f>
        <v>1232.5696320000002</v>
      </c>
      <c r="J88" s="206">
        <v>1</v>
      </c>
      <c r="K88" s="206">
        <v>299</v>
      </c>
      <c r="L88" s="219">
        <f t="shared" si="11"/>
        <v>1633.692324112317</v>
      </c>
      <c r="M88" s="206">
        <f>'2. Propiedades de Disipador'!N83</f>
        <v>34.482758620689651</v>
      </c>
      <c r="N88" s="206">
        <f t="shared" si="12"/>
        <v>212.15181506257991</v>
      </c>
      <c r="O88" s="219">
        <f t="shared" si="13"/>
        <v>1456.6516192180102</v>
      </c>
      <c r="P88" s="621"/>
      <c r="Q88" s="3"/>
      <c r="R88" s="3"/>
      <c r="S88" s="3"/>
      <c r="T88" s="3"/>
      <c r="U88" s="11"/>
    </row>
    <row r="89" spans="2:21" ht="15" customHeight="1" x14ac:dyDescent="0.25">
      <c r="B89" s="10"/>
      <c r="C89" s="3"/>
      <c r="D89" s="206" t="s">
        <v>17</v>
      </c>
      <c r="E89" s="206">
        <v>0.66666666666666663</v>
      </c>
      <c r="F89" s="206">
        <f t="shared" si="9"/>
        <v>8.7421662828752744</v>
      </c>
      <c r="G89" s="206">
        <f>F89-F90</f>
        <v>2.1855415707188186</v>
      </c>
      <c r="H89" s="206">
        <f t="shared" si="10"/>
        <v>6.1524026368148181</v>
      </c>
      <c r="I89" s="206">
        <f>K10</f>
        <v>1238.7043760000001</v>
      </c>
      <c r="J89" s="206">
        <v>1</v>
      </c>
      <c r="K89" s="206">
        <v>240</v>
      </c>
      <c r="L89" s="219">
        <f>1/2*K89*F89</f>
        <v>1049.0599539450329</v>
      </c>
      <c r="M89" s="206">
        <f>'2. Propiedades de Disipador'!N84</f>
        <v>34.482758620689651</v>
      </c>
      <c r="N89" s="206">
        <f t="shared" si="12"/>
        <v>212.15181506257991</v>
      </c>
      <c r="O89" s="219">
        <f t="shared" si="13"/>
        <v>1456.6516192180102</v>
      </c>
      <c r="P89" s="621"/>
      <c r="Q89" s="3"/>
      <c r="R89" s="3"/>
      <c r="S89" s="3"/>
      <c r="T89" s="3"/>
      <c r="U89" s="11"/>
    </row>
    <row r="90" spans="2:21" ht="15" customHeight="1" x14ac:dyDescent="0.25">
      <c r="B90" s="10"/>
      <c r="C90" s="3"/>
      <c r="D90" s="206" t="s">
        <v>18</v>
      </c>
      <c r="E90" s="206">
        <v>0.5</v>
      </c>
      <c r="F90" s="206">
        <f t="shared" si="9"/>
        <v>6.5566247121564558</v>
      </c>
      <c r="G90" s="206">
        <f>F90-F91</f>
        <v>2.1855415707188186</v>
      </c>
      <c r="H90" s="206">
        <f t="shared" si="10"/>
        <v>6.1524026368148181</v>
      </c>
      <c r="I90" s="206">
        <f>K11</f>
        <v>1248.6950700000002</v>
      </c>
      <c r="J90" s="206">
        <v>1</v>
      </c>
      <c r="K90" s="206">
        <v>181</v>
      </c>
      <c r="L90" s="219">
        <f t="shared" si="11"/>
        <v>593.37453645015921</v>
      </c>
      <c r="M90" s="206">
        <f>'2. Propiedades de Disipador'!N85</f>
        <v>68.965517241379303</v>
      </c>
      <c r="N90" s="206">
        <f t="shared" si="12"/>
        <v>424.30363012515983</v>
      </c>
      <c r="O90" s="219">
        <f t="shared" si="13"/>
        <v>2913.3032384360204</v>
      </c>
      <c r="P90" s="621"/>
      <c r="Q90" s="3"/>
      <c r="R90" s="3"/>
      <c r="S90" s="3"/>
      <c r="T90" s="3"/>
      <c r="U90" s="11"/>
    </row>
    <row r="91" spans="2:21" ht="15" customHeight="1" x14ac:dyDescent="0.25">
      <c r="B91" s="10"/>
      <c r="C91" s="3"/>
      <c r="D91" s="206" t="s">
        <v>19</v>
      </c>
      <c r="E91" s="206">
        <v>0.33333333333333331</v>
      </c>
      <c r="F91" s="206">
        <f t="shared" si="9"/>
        <v>4.3710831414376372</v>
      </c>
      <c r="G91" s="206">
        <f>F91-F92</f>
        <v>2.1855415707188186</v>
      </c>
      <c r="H91" s="206">
        <f t="shared" si="10"/>
        <v>6.1524026368148181</v>
      </c>
      <c r="I91" s="206">
        <f>K12</f>
        <v>1256.2289040000001</v>
      </c>
      <c r="J91" s="206">
        <v>1</v>
      </c>
      <c r="K91" s="206">
        <v>121</v>
      </c>
      <c r="L91" s="219">
        <f t="shared" si="11"/>
        <v>264.45053005697707</v>
      </c>
      <c r="M91" s="206">
        <f>'2. Propiedades de Disipador'!N86</f>
        <v>68.965517241379303</v>
      </c>
      <c r="N91" s="206">
        <f t="shared" si="12"/>
        <v>424.30363012515983</v>
      </c>
      <c r="O91" s="219">
        <f t="shared" si="13"/>
        <v>2913.3032384360204</v>
      </c>
      <c r="P91" s="621"/>
      <c r="Q91" s="3"/>
      <c r="R91" s="3"/>
      <c r="S91" s="3"/>
      <c r="T91" s="3"/>
      <c r="U91" s="11"/>
    </row>
    <row r="92" spans="2:21" ht="15" customHeight="1" x14ac:dyDescent="0.25">
      <c r="B92" s="10"/>
      <c r="C92" s="3"/>
      <c r="D92" s="623" t="s">
        <v>16</v>
      </c>
      <c r="E92" s="623">
        <v>0.16666666666666666</v>
      </c>
      <c r="F92" s="623">
        <f t="shared" si="9"/>
        <v>2.1855415707188186</v>
      </c>
      <c r="G92" s="623">
        <f>F92</f>
        <v>2.1855415707188186</v>
      </c>
      <c r="H92" s="623">
        <f t="shared" si="10"/>
        <v>6.1524026368148181</v>
      </c>
      <c r="I92" s="623">
        <f>K13</f>
        <v>1257.4663500000001</v>
      </c>
      <c r="J92" s="623">
        <v>1</v>
      </c>
      <c r="K92" s="623">
        <v>62</v>
      </c>
      <c r="L92" s="624">
        <f t="shared" si="11"/>
        <v>67.751788692283384</v>
      </c>
      <c r="M92" s="623">
        <f>'2. Propiedades de Disipador'!N87</f>
        <v>68.965517241379303</v>
      </c>
      <c r="N92" s="623">
        <f t="shared" si="12"/>
        <v>424.30363012515983</v>
      </c>
      <c r="O92" s="624">
        <f t="shared" si="13"/>
        <v>2913.3032384360204</v>
      </c>
      <c r="P92" s="625"/>
      <c r="Q92" s="3"/>
      <c r="R92" s="3"/>
      <c r="S92" s="3"/>
      <c r="T92" s="3"/>
      <c r="U92" s="11"/>
    </row>
    <row r="93" spans="2:21" ht="15.75" customHeight="1" x14ac:dyDescent="0.25">
      <c r="B93" s="10"/>
      <c r="C93" s="3"/>
      <c r="D93" s="638" t="s">
        <v>100</v>
      </c>
      <c r="E93" s="623"/>
      <c r="F93" s="623"/>
      <c r="G93" s="623"/>
      <c r="H93" s="623"/>
      <c r="I93" s="623"/>
      <c r="J93" s="623"/>
      <c r="K93" s="623">
        <f>SUM(K87:K92)</f>
        <v>1082</v>
      </c>
      <c r="L93" s="624">
        <f>SUM(L87:L92)</f>
        <v>4781.9649567327751</v>
      </c>
      <c r="M93" s="623"/>
      <c r="N93" s="623"/>
      <c r="O93" s="624">
        <f>SUM(O87:O92)</f>
        <v>13109.864572962091</v>
      </c>
      <c r="P93" s="639"/>
      <c r="Q93" s="3"/>
      <c r="R93" s="3"/>
      <c r="S93" s="3"/>
      <c r="T93" s="3"/>
      <c r="U93" s="11"/>
    </row>
    <row r="94" spans="2:21" x14ac:dyDescent="0.25">
      <c r="B94" s="10"/>
      <c r="C94" s="3"/>
      <c r="D94" s="3"/>
      <c r="E94" s="3"/>
      <c r="F94" s="3"/>
      <c r="G94" s="3"/>
      <c r="H94" s="82"/>
      <c r="I94" s="82"/>
      <c r="J94" s="3"/>
      <c r="K94" s="3"/>
      <c r="L94" s="3"/>
      <c r="M94" s="82"/>
      <c r="N94" s="3"/>
      <c r="O94" s="3"/>
      <c r="P94" s="3"/>
      <c r="Q94" s="3"/>
      <c r="R94" s="3"/>
      <c r="S94" s="3"/>
      <c r="T94" s="3"/>
      <c r="U94" s="11"/>
    </row>
    <row r="95" spans="2:21" ht="15.75" thickBot="1" x14ac:dyDescent="0.3">
      <c r="B95" s="23"/>
      <c r="C95" s="24"/>
      <c r="D95" s="24"/>
      <c r="E95" s="24"/>
      <c r="F95" s="24"/>
      <c r="G95" s="24"/>
      <c r="H95" s="208"/>
      <c r="I95" s="208"/>
      <c r="J95" s="24"/>
      <c r="K95" s="24"/>
      <c r="L95" s="24"/>
      <c r="M95" s="208"/>
      <c r="N95" s="24"/>
      <c r="O95" s="24"/>
      <c r="P95" s="24"/>
      <c r="Q95" s="24"/>
      <c r="R95" s="24"/>
      <c r="S95" s="24"/>
      <c r="T95" s="24"/>
      <c r="U95" s="25"/>
    </row>
    <row r="96" spans="2:21" x14ac:dyDescent="0.25">
      <c r="B96" s="7"/>
      <c r="C96" s="8"/>
      <c r="D96" s="8"/>
      <c r="E96" s="8"/>
      <c r="F96" s="8"/>
      <c r="G96" s="8"/>
      <c r="H96" s="220"/>
      <c r="I96" s="220"/>
      <c r="J96" s="8"/>
      <c r="K96" s="8"/>
      <c r="L96" s="8"/>
      <c r="M96" s="220"/>
      <c r="N96" s="8"/>
      <c r="O96" s="8"/>
      <c r="P96" s="8"/>
      <c r="Q96" s="8"/>
      <c r="R96" s="8"/>
      <c r="S96" s="8"/>
      <c r="T96" s="8"/>
      <c r="U96" s="9"/>
    </row>
    <row r="97" spans="2:21" x14ac:dyDescent="0.25">
      <c r="B97" s="10"/>
      <c r="C97" s="277" t="s">
        <v>480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11"/>
    </row>
    <row r="98" spans="2:21" x14ac:dyDescent="0.25">
      <c r="B98" s="10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11"/>
    </row>
    <row r="99" spans="2:21" x14ac:dyDescent="0.25">
      <c r="B99" s="10"/>
      <c r="C99" s="3"/>
      <c r="D99" s="3"/>
      <c r="E99" s="3"/>
      <c r="F99" s="3"/>
      <c r="G99" s="3"/>
      <c r="H99" s="82"/>
      <c r="I99" s="82"/>
      <c r="J99" s="3"/>
      <c r="K99" s="3"/>
      <c r="L99" s="3"/>
      <c r="M99" s="82"/>
      <c r="N99" s="3"/>
      <c r="O99" s="3"/>
      <c r="P99" s="3"/>
      <c r="Q99" s="3"/>
      <c r="R99" s="3"/>
      <c r="S99" s="3"/>
      <c r="T99" s="3"/>
      <c r="U99" s="11"/>
    </row>
    <row r="100" spans="2:21" x14ac:dyDescent="0.25">
      <c r="B100" s="10"/>
      <c r="C100" s="250" t="s">
        <v>293</v>
      </c>
      <c r="D100" s="250"/>
      <c r="E100" s="250"/>
      <c r="F100" s="250"/>
      <c r="G100" s="250"/>
      <c r="H100" s="250"/>
      <c r="I100" s="250"/>
      <c r="J100" s="250"/>
      <c r="K100" s="250"/>
      <c r="L100" s="82"/>
      <c r="M100" s="3"/>
      <c r="N100" s="3"/>
      <c r="O100" s="3"/>
      <c r="P100" s="3"/>
      <c r="Q100" s="3"/>
      <c r="R100" s="3"/>
      <c r="S100" s="3"/>
      <c r="T100" s="3"/>
      <c r="U100" s="11"/>
    </row>
    <row r="101" spans="2:21" x14ac:dyDescent="0.25">
      <c r="B101" s="10"/>
      <c r="C101" s="250" t="s">
        <v>294</v>
      </c>
      <c r="D101" s="250"/>
      <c r="E101" s="250"/>
      <c r="F101" s="270" t="s">
        <v>295</v>
      </c>
      <c r="G101" s="270"/>
      <c r="H101" s="270"/>
      <c r="I101" s="270"/>
      <c r="J101" s="270"/>
      <c r="K101" s="216"/>
      <c r="L101" s="82"/>
      <c r="M101" s="3"/>
      <c r="N101" s="3"/>
      <c r="O101" s="3"/>
      <c r="P101" s="3"/>
      <c r="Q101" s="3"/>
      <c r="R101" s="3"/>
      <c r="S101" s="3"/>
      <c r="T101" s="3"/>
      <c r="U101" s="11"/>
    </row>
    <row r="102" spans="2:21" x14ac:dyDescent="0.25">
      <c r="B102" s="10"/>
      <c r="C102" s="608" t="s">
        <v>282</v>
      </c>
      <c r="D102" s="138">
        <f>T7</f>
        <v>3.2549999999999999</v>
      </c>
      <c r="E102" s="136" t="s">
        <v>50</v>
      </c>
      <c r="F102" s="608" t="s">
        <v>286</v>
      </c>
      <c r="G102" s="640">
        <f>D102*0.4</f>
        <v>1.302</v>
      </c>
      <c r="H102" s="641" t="s">
        <v>50</v>
      </c>
      <c r="I102" s="642" t="s">
        <v>148</v>
      </c>
      <c r="J102" s="642"/>
      <c r="K102" s="643" t="s">
        <v>290</v>
      </c>
      <c r="L102" s="82"/>
      <c r="M102" s="3"/>
      <c r="N102" s="3"/>
      <c r="O102" s="3"/>
      <c r="P102" s="3"/>
      <c r="Q102" s="3"/>
      <c r="R102" s="3"/>
      <c r="S102" s="3"/>
      <c r="T102" s="3"/>
      <c r="U102" s="11"/>
    </row>
    <row r="103" spans="2:21" x14ac:dyDescent="0.25">
      <c r="B103" s="10"/>
      <c r="C103" s="608" t="s">
        <v>283</v>
      </c>
      <c r="D103" s="138">
        <f>T8</f>
        <v>2.2320000000000002</v>
      </c>
      <c r="E103" s="136" t="s">
        <v>50</v>
      </c>
      <c r="F103" s="608" t="s">
        <v>287</v>
      </c>
      <c r="G103" s="640">
        <f>D103*0.4</f>
        <v>0.89280000000000015</v>
      </c>
      <c r="H103" s="641" t="s">
        <v>50</v>
      </c>
      <c r="I103" s="642" t="s">
        <v>148</v>
      </c>
      <c r="J103" s="642"/>
      <c r="K103" s="643" t="s">
        <v>290</v>
      </c>
      <c r="L103" s="82"/>
      <c r="M103" s="3"/>
      <c r="N103" s="3"/>
      <c r="O103" s="3"/>
      <c r="P103" s="3"/>
      <c r="Q103" s="3"/>
      <c r="R103" s="3"/>
      <c r="S103" s="3"/>
      <c r="T103" s="3"/>
      <c r="U103" s="11"/>
    </row>
    <row r="104" spans="2:21" x14ac:dyDescent="0.25">
      <c r="B104" s="10"/>
      <c r="C104" s="608" t="s">
        <v>284</v>
      </c>
      <c r="D104" s="138">
        <f>D59</f>
        <v>1.4866323175779628</v>
      </c>
      <c r="E104" s="136"/>
      <c r="F104" s="608" t="s">
        <v>288</v>
      </c>
      <c r="G104" s="640">
        <f>1-D104</f>
        <v>-0.48663231757796277</v>
      </c>
      <c r="H104" s="641"/>
      <c r="I104" s="642" t="s">
        <v>149</v>
      </c>
      <c r="J104" s="642"/>
      <c r="K104" s="643" t="s">
        <v>291</v>
      </c>
      <c r="L104" s="82"/>
      <c r="M104" s="3"/>
      <c r="N104" s="3"/>
      <c r="O104" s="3"/>
      <c r="P104" s="3"/>
      <c r="Q104" s="3"/>
      <c r="R104" s="3"/>
      <c r="S104" s="3"/>
      <c r="T104" s="3"/>
      <c r="U104" s="11"/>
    </row>
    <row r="105" spans="2:21" x14ac:dyDescent="0.25">
      <c r="B105" s="10"/>
      <c r="C105" s="610" t="s">
        <v>285</v>
      </c>
      <c r="D105" s="644">
        <f>D57</f>
        <v>5506.3911996837969</v>
      </c>
      <c r="E105" s="137" t="s">
        <v>11</v>
      </c>
      <c r="F105" s="610" t="s">
        <v>289</v>
      </c>
      <c r="G105" s="645">
        <f>K15-D105</f>
        <v>1347.3855623162035</v>
      </c>
      <c r="H105" s="646" t="s">
        <v>450</v>
      </c>
      <c r="I105" s="498" t="s">
        <v>150</v>
      </c>
      <c r="J105" s="498"/>
      <c r="K105" s="647" t="s">
        <v>292</v>
      </c>
      <c r="L105" s="82"/>
      <c r="M105" s="3"/>
      <c r="N105" s="3"/>
      <c r="O105" s="3"/>
      <c r="P105" s="3"/>
      <c r="Q105" s="3"/>
      <c r="R105" s="3"/>
      <c r="S105" s="3"/>
      <c r="T105" s="3"/>
      <c r="U105" s="11"/>
    </row>
    <row r="106" spans="2:21" x14ac:dyDescent="0.25">
      <c r="B106" s="10"/>
      <c r="C106" s="388"/>
      <c r="D106" s="27"/>
      <c r="E106" s="3"/>
      <c r="F106" s="3"/>
      <c r="G106" s="82"/>
      <c r="H106" s="82"/>
      <c r="I106" s="3"/>
      <c r="J106" s="3"/>
      <c r="K106" s="3"/>
      <c r="L106" s="82"/>
      <c r="M106" s="3"/>
      <c r="N106" s="3"/>
      <c r="O106" s="3"/>
      <c r="P106" s="3"/>
      <c r="Q106" s="3"/>
      <c r="R106" s="3"/>
      <c r="S106" s="3"/>
      <c r="T106" s="3"/>
      <c r="U106" s="11"/>
    </row>
    <row r="107" spans="2:21" x14ac:dyDescent="0.25">
      <c r="B107" s="10"/>
      <c r="C107" s="3"/>
      <c r="D107" s="3"/>
      <c r="E107" s="3"/>
      <c r="F107" s="3"/>
      <c r="G107" s="82"/>
      <c r="H107" s="82"/>
      <c r="I107" s="3"/>
      <c r="J107" s="3"/>
      <c r="K107" s="3"/>
      <c r="L107" s="82"/>
      <c r="M107" s="3"/>
      <c r="N107" s="3"/>
      <c r="O107" s="3"/>
      <c r="P107" s="3"/>
      <c r="Q107" s="3"/>
      <c r="R107" s="3"/>
      <c r="S107" s="3"/>
      <c r="T107" s="3"/>
      <c r="U107" s="11"/>
    </row>
    <row r="108" spans="2:21" x14ac:dyDescent="0.25">
      <c r="B108" s="10"/>
      <c r="C108" s="250" t="s">
        <v>185</v>
      </c>
      <c r="D108" s="250"/>
      <c r="E108" s="250"/>
      <c r="F108" s="250"/>
      <c r="G108" s="82"/>
      <c r="H108" s="82"/>
      <c r="I108" s="3"/>
      <c r="J108" s="3"/>
      <c r="K108" s="3"/>
      <c r="L108" s="82"/>
      <c r="M108" s="3"/>
      <c r="N108" s="3"/>
      <c r="O108" s="3"/>
      <c r="P108" s="3"/>
      <c r="Q108" s="3"/>
      <c r="R108" s="3"/>
      <c r="S108" s="3"/>
      <c r="T108" s="3"/>
      <c r="U108" s="11"/>
    </row>
    <row r="109" spans="2:21" ht="15.75" customHeight="1" x14ac:dyDescent="0.25">
      <c r="B109" s="10"/>
      <c r="C109" s="268" t="s">
        <v>22</v>
      </c>
      <c r="D109" s="615" t="s">
        <v>297</v>
      </c>
      <c r="E109" s="268" t="s">
        <v>299</v>
      </c>
      <c r="F109" s="615" t="s">
        <v>298</v>
      </c>
      <c r="G109" s="82"/>
      <c r="H109" s="82"/>
      <c r="I109" s="3"/>
      <c r="J109" s="3"/>
      <c r="K109" s="3"/>
      <c r="L109" s="82"/>
      <c r="M109" s="3"/>
      <c r="N109" s="3"/>
      <c r="O109" s="3"/>
      <c r="P109" s="3"/>
      <c r="Q109" s="3"/>
      <c r="R109" s="3"/>
      <c r="S109" s="3"/>
      <c r="T109" s="3"/>
      <c r="U109" s="11"/>
    </row>
    <row r="110" spans="2:21" ht="16.5" customHeight="1" x14ac:dyDescent="0.25">
      <c r="B110" s="10"/>
      <c r="C110" s="269"/>
      <c r="D110" s="581" t="s">
        <v>250</v>
      </c>
      <c r="E110" s="269"/>
      <c r="F110" s="581" t="s">
        <v>296</v>
      </c>
      <c r="G110" s="82"/>
      <c r="H110" s="82"/>
      <c r="I110" s="3"/>
      <c r="J110" s="3"/>
      <c r="K110" s="3"/>
      <c r="L110" s="82"/>
      <c r="M110" s="3"/>
      <c r="N110" s="3"/>
      <c r="O110" s="3"/>
      <c r="P110" s="3"/>
      <c r="Q110" s="3"/>
      <c r="R110" s="3"/>
      <c r="S110" s="3"/>
      <c r="T110" s="3"/>
      <c r="U110" s="11"/>
    </row>
    <row r="111" spans="2:21" x14ac:dyDescent="0.25">
      <c r="B111" s="10"/>
      <c r="C111" s="230" t="s">
        <v>14</v>
      </c>
      <c r="D111" s="166">
        <f>F32</f>
        <v>1</v>
      </c>
      <c r="E111" s="648">
        <f>1-$D$104*D111</f>
        <v>-0.48663231757796277</v>
      </c>
      <c r="F111" s="649">
        <f>(E111)/(1-$D$104)</f>
        <v>1</v>
      </c>
      <c r="G111" s="82"/>
      <c r="H111" s="82"/>
      <c r="I111" s="3"/>
      <c r="J111" s="3"/>
      <c r="K111" s="3"/>
      <c r="L111" s="82"/>
      <c r="M111" s="3"/>
      <c r="N111" s="3"/>
      <c r="O111" s="3"/>
      <c r="P111" s="3"/>
      <c r="Q111" s="3"/>
      <c r="R111" s="3"/>
      <c r="S111" s="3"/>
      <c r="T111" s="3"/>
      <c r="U111" s="11"/>
    </row>
    <row r="112" spans="2:21" x14ac:dyDescent="0.25">
      <c r="B112" s="10"/>
      <c r="C112" s="230" t="s">
        <v>147</v>
      </c>
      <c r="D112" s="166">
        <f>F33</f>
        <v>0.83333333333333337</v>
      </c>
      <c r="E112" s="648">
        <f>1-$D$104*D112</f>
        <v>-0.23886026464830246</v>
      </c>
      <c r="F112" s="649">
        <f>(E112)/(1-$D$104)</f>
        <v>0.49084340686032418</v>
      </c>
      <c r="G112" s="82"/>
      <c r="H112" s="82"/>
      <c r="I112" s="3"/>
      <c r="J112" s="3"/>
      <c r="K112" s="3"/>
      <c r="L112" s="82"/>
      <c r="M112" s="3"/>
      <c r="N112" s="3"/>
      <c r="O112" s="3"/>
      <c r="P112" s="3"/>
      <c r="Q112" s="3"/>
      <c r="R112" s="3"/>
      <c r="S112" s="3"/>
      <c r="T112" s="3"/>
      <c r="U112" s="11"/>
    </row>
    <row r="113" spans="2:21" x14ac:dyDescent="0.25">
      <c r="B113" s="10"/>
      <c r="C113" s="230" t="s">
        <v>17</v>
      </c>
      <c r="D113" s="166">
        <f>F34</f>
        <v>0.66666666666666663</v>
      </c>
      <c r="E113" s="648">
        <f>1-$D$104*D113</f>
        <v>8.9117882813581906E-3</v>
      </c>
      <c r="F113" s="649">
        <f>(E113)/(1-$D$104)</f>
        <v>-1.8313186279352366E-2</v>
      </c>
      <c r="G113" s="82"/>
      <c r="H113" s="82"/>
      <c r="I113" s="3"/>
      <c r="J113" s="3"/>
      <c r="K113" s="3"/>
      <c r="L113" s="82"/>
      <c r="M113" s="3"/>
      <c r="N113" s="3"/>
      <c r="O113" s="3"/>
      <c r="P113" s="3"/>
      <c r="Q113" s="3"/>
      <c r="R113" s="3"/>
      <c r="S113" s="3"/>
      <c r="T113" s="3"/>
      <c r="U113" s="11"/>
    </row>
    <row r="114" spans="2:21" x14ac:dyDescent="0.25">
      <c r="B114" s="10"/>
      <c r="C114" s="230" t="s">
        <v>18</v>
      </c>
      <c r="D114" s="166">
        <f>F35</f>
        <v>0.5</v>
      </c>
      <c r="E114" s="648">
        <f>1-$D$104*D114</f>
        <v>0.25668384121101862</v>
      </c>
      <c r="F114" s="649">
        <f>(E114)/(1-$D$104)</f>
        <v>-0.5274697794190284</v>
      </c>
      <c r="G114" s="82"/>
      <c r="H114" s="82"/>
      <c r="I114" s="3"/>
      <c r="J114" s="3"/>
      <c r="K114" s="3"/>
      <c r="L114" s="82"/>
      <c r="M114" s="3"/>
      <c r="N114" s="3"/>
      <c r="O114" s="3"/>
      <c r="P114" s="3"/>
      <c r="Q114" s="3"/>
      <c r="R114" s="3"/>
      <c r="S114" s="3"/>
      <c r="T114" s="3"/>
      <c r="U114" s="11"/>
    </row>
    <row r="115" spans="2:21" x14ac:dyDescent="0.25">
      <c r="B115" s="10"/>
      <c r="C115" s="230" t="s">
        <v>19</v>
      </c>
      <c r="D115" s="166">
        <f>F36</f>
        <v>0.33333333333333331</v>
      </c>
      <c r="E115" s="648">
        <f>1-$D$104*D115</f>
        <v>0.50445589414067915</v>
      </c>
      <c r="F115" s="649">
        <f>(E115)/(1-$D$104)</f>
        <v>-1.0366263725587048</v>
      </c>
      <c r="G115" s="82"/>
      <c r="H115" s="82"/>
      <c r="I115" s="3"/>
      <c r="J115" s="3"/>
      <c r="K115" s="3"/>
      <c r="L115" s="82"/>
      <c r="M115" s="3"/>
      <c r="N115" s="3"/>
      <c r="O115" s="3"/>
      <c r="P115" s="3"/>
      <c r="Q115" s="3"/>
      <c r="R115" s="3"/>
      <c r="S115" s="3"/>
      <c r="T115" s="3"/>
      <c r="U115" s="11"/>
    </row>
    <row r="116" spans="2:21" x14ac:dyDescent="0.25">
      <c r="B116" s="10"/>
      <c r="C116" s="230" t="s">
        <v>16</v>
      </c>
      <c r="D116" s="166">
        <f>F37</f>
        <v>0.16666666666666666</v>
      </c>
      <c r="E116" s="648">
        <f>1-$D$104*D116</f>
        <v>0.75222794707033958</v>
      </c>
      <c r="F116" s="649">
        <f>(E116)/(1-$D$104)</f>
        <v>-1.5457829656983808</v>
      </c>
      <c r="G116" s="82"/>
      <c r="H116" s="82"/>
      <c r="I116" s="3"/>
      <c r="J116" s="3"/>
      <c r="K116" s="3"/>
      <c r="L116" s="82"/>
      <c r="M116" s="3"/>
      <c r="N116" s="3"/>
      <c r="O116" s="3"/>
      <c r="P116" s="3"/>
      <c r="Q116" s="3"/>
      <c r="R116" s="3"/>
      <c r="S116" s="3"/>
      <c r="T116" s="3"/>
      <c r="U116" s="11"/>
    </row>
    <row r="117" spans="2:21" x14ac:dyDescent="0.25">
      <c r="B117" s="10"/>
      <c r="C117" s="231" t="s">
        <v>30</v>
      </c>
      <c r="D117" s="554">
        <f>F38</f>
        <v>0</v>
      </c>
      <c r="E117" s="650">
        <v>0</v>
      </c>
      <c r="F117" s="651">
        <f>(E117)/(1-$D$104)</f>
        <v>0</v>
      </c>
      <c r="G117" s="82"/>
      <c r="H117" s="82"/>
      <c r="I117" s="3"/>
      <c r="J117" s="3"/>
      <c r="K117" s="3"/>
      <c r="L117" s="82"/>
      <c r="M117" s="3"/>
      <c r="N117" s="3"/>
      <c r="O117" s="3"/>
      <c r="P117" s="3"/>
      <c r="Q117" s="3"/>
      <c r="R117" s="3"/>
      <c r="S117" s="3"/>
      <c r="T117" s="3"/>
      <c r="U117" s="11"/>
    </row>
    <row r="118" spans="2:21" x14ac:dyDescent="0.25">
      <c r="B118" s="10"/>
      <c r="C118" s="3"/>
      <c r="D118" s="3"/>
      <c r="E118" s="3"/>
      <c r="F118" s="3"/>
      <c r="G118" s="82"/>
      <c r="H118" s="82"/>
      <c r="I118" s="3"/>
      <c r="J118" s="3"/>
      <c r="K118" s="3"/>
      <c r="L118" s="82"/>
      <c r="M118" s="3"/>
      <c r="N118" s="3"/>
      <c r="O118" s="3"/>
      <c r="P118" s="3"/>
      <c r="Q118" s="3"/>
      <c r="R118" s="3"/>
      <c r="S118" s="3"/>
      <c r="T118" s="3"/>
      <c r="U118" s="11"/>
    </row>
    <row r="119" spans="2:21" x14ac:dyDescent="0.25">
      <c r="B119" s="10"/>
      <c r="C119" s="3"/>
      <c r="D119" s="3"/>
      <c r="E119" s="3"/>
      <c r="F119" s="3"/>
      <c r="G119" s="3"/>
      <c r="H119" s="82"/>
      <c r="I119" s="82"/>
      <c r="J119" s="3"/>
      <c r="K119" s="3"/>
      <c r="L119" s="3"/>
      <c r="M119" s="82"/>
      <c r="N119" s="3"/>
      <c r="O119" s="3"/>
      <c r="P119" s="3"/>
      <c r="Q119" s="3"/>
      <c r="R119" s="3"/>
      <c r="S119" s="3"/>
      <c r="T119" s="3"/>
      <c r="U119" s="11"/>
    </row>
    <row r="120" spans="2:21" x14ac:dyDescent="0.25">
      <c r="B120" s="10"/>
      <c r="C120" s="277" t="s">
        <v>481</v>
      </c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11"/>
    </row>
    <row r="121" spans="2:21" x14ac:dyDescent="0.25">
      <c r="B121" s="10"/>
      <c r="C121" s="277"/>
      <c r="D121" s="277"/>
      <c r="E121" s="277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11"/>
    </row>
    <row r="122" spans="2:21" x14ac:dyDescent="0.25">
      <c r="B122" s="10"/>
      <c r="C122" s="3"/>
      <c r="D122" s="3"/>
      <c r="E122" s="3"/>
      <c r="F122" s="3"/>
      <c r="G122" s="3"/>
      <c r="H122" s="82"/>
      <c r="I122" s="82"/>
      <c r="J122" s="3"/>
      <c r="K122" s="3"/>
      <c r="L122" s="3"/>
      <c r="M122" s="82"/>
      <c r="N122" s="3"/>
      <c r="O122" s="3"/>
      <c r="P122" s="3"/>
      <c r="Q122" s="3"/>
      <c r="R122" s="3"/>
      <c r="S122" s="3"/>
      <c r="T122" s="3"/>
      <c r="U122" s="11"/>
    </row>
    <row r="123" spans="2:21" x14ac:dyDescent="0.25">
      <c r="B123" s="10"/>
      <c r="C123" s="3"/>
      <c r="D123" s="250" t="s">
        <v>12</v>
      </c>
      <c r="E123" s="250"/>
      <c r="F123" s="250"/>
      <c r="G123" s="250" t="s">
        <v>13</v>
      </c>
      <c r="H123" s="250"/>
      <c r="I123" s="250"/>
      <c r="J123" s="211"/>
      <c r="K123" s="3"/>
      <c r="L123" s="3"/>
      <c r="M123" s="82"/>
      <c r="N123" s="3"/>
      <c r="O123" s="3"/>
      <c r="P123" s="3"/>
      <c r="Q123" s="3"/>
      <c r="R123" s="3"/>
      <c r="S123" s="3"/>
      <c r="T123" s="3"/>
      <c r="U123" s="11"/>
    </row>
    <row r="124" spans="2:21" x14ac:dyDescent="0.25">
      <c r="B124" s="10"/>
      <c r="C124" s="3"/>
      <c r="D124" s="608" t="s">
        <v>302</v>
      </c>
      <c r="E124" s="138">
        <f>G102</f>
        <v>1.302</v>
      </c>
      <c r="F124" s="136" t="s">
        <v>50</v>
      </c>
      <c r="G124" s="608" t="s">
        <v>287</v>
      </c>
      <c r="H124" s="652">
        <f>G103</f>
        <v>0.89280000000000015</v>
      </c>
      <c r="I124" s="155" t="s">
        <v>50</v>
      </c>
      <c r="J124" s="608"/>
      <c r="K124" s="3"/>
      <c r="L124" s="3"/>
      <c r="M124" s="82"/>
      <c r="N124" s="3"/>
      <c r="O124" s="3"/>
      <c r="P124" s="3"/>
      <c r="Q124" s="3"/>
      <c r="R124" s="3"/>
      <c r="S124" s="3"/>
      <c r="T124" s="3"/>
      <c r="U124" s="11"/>
    </row>
    <row r="125" spans="2:21" x14ac:dyDescent="0.25">
      <c r="B125" s="10"/>
      <c r="C125" s="3"/>
      <c r="D125" s="608" t="s">
        <v>300</v>
      </c>
      <c r="E125" s="138">
        <f>2*PI()/E124</f>
        <v>4.825795166804598</v>
      </c>
      <c r="F125" s="136" t="s">
        <v>113</v>
      </c>
      <c r="G125" s="608" t="s">
        <v>301</v>
      </c>
      <c r="H125" s="652">
        <f>2*PI()/H124</f>
        <v>7.037617951590037</v>
      </c>
      <c r="I125" s="155" t="s">
        <v>113</v>
      </c>
      <c r="J125" s="608"/>
      <c r="K125" s="3"/>
      <c r="L125" s="3"/>
      <c r="M125" s="82"/>
      <c r="N125" s="3"/>
      <c r="O125" s="3"/>
      <c r="P125" s="3"/>
      <c r="Q125" s="3"/>
      <c r="R125" s="3"/>
      <c r="S125" s="3"/>
      <c r="T125" s="3"/>
      <c r="U125" s="11"/>
    </row>
    <row r="126" spans="2:21" x14ac:dyDescent="0.25">
      <c r="B126" s="10"/>
      <c r="C126" s="3"/>
      <c r="D126" s="608" t="s">
        <v>305</v>
      </c>
      <c r="E126" s="188">
        <f>LOOKUP(E124,'1.1 Espectro de Diseño'!$D$60:$D$860,'1.1 Espectro de Diseño'!$H$60:$H$860)</f>
        <v>0.4615384615384614</v>
      </c>
      <c r="F126" s="136" t="s">
        <v>52</v>
      </c>
      <c r="G126" s="608" t="s">
        <v>303</v>
      </c>
      <c r="H126" s="653">
        <f>LOOKUP(H124,'1.1 Espectro de Diseño'!$D$60:$D$860,'1.1 Espectro de Diseño'!$H$60:$H$860)</f>
        <v>0.67415730337078639</v>
      </c>
      <c r="I126" s="155" t="s">
        <v>52</v>
      </c>
      <c r="J126" s="608"/>
      <c r="K126" s="3"/>
      <c r="L126" s="3"/>
      <c r="M126" s="82"/>
      <c r="N126" s="3"/>
      <c r="O126" s="3"/>
      <c r="P126" s="3"/>
      <c r="Q126" s="3"/>
      <c r="R126" s="3"/>
      <c r="S126" s="3"/>
      <c r="T126" s="3"/>
      <c r="U126" s="11"/>
    </row>
    <row r="127" spans="2:21" x14ac:dyDescent="0.25">
      <c r="B127" s="10"/>
      <c r="C127" s="3"/>
      <c r="D127" s="610" t="s">
        <v>306</v>
      </c>
      <c r="E127" s="140">
        <f>E126*F16/E125^2</f>
        <v>7.6542989561681134</v>
      </c>
      <c r="F127" s="141" t="s">
        <v>479</v>
      </c>
      <c r="G127" s="610" t="s">
        <v>304</v>
      </c>
      <c r="H127" s="654">
        <f>H126*F16/H125^2</f>
        <v>5.2570869602189285</v>
      </c>
      <c r="I127" s="612" t="s">
        <v>479</v>
      </c>
      <c r="J127" s="613" t="s">
        <v>261</v>
      </c>
      <c r="K127" s="3"/>
      <c r="L127" s="3"/>
      <c r="M127" s="82"/>
      <c r="N127" s="3"/>
      <c r="O127" s="3"/>
      <c r="P127" s="3"/>
      <c r="Q127" s="3"/>
      <c r="R127" s="3"/>
      <c r="S127" s="3"/>
      <c r="T127" s="3"/>
      <c r="U127" s="11"/>
    </row>
    <row r="128" spans="2:21" x14ac:dyDescent="0.25">
      <c r="B128" s="10"/>
      <c r="C128" s="3"/>
      <c r="D128" s="3"/>
      <c r="E128" s="3"/>
      <c r="F128" s="3"/>
      <c r="G128" s="3"/>
      <c r="H128" s="82"/>
      <c r="I128" s="82"/>
      <c r="J128" s="3"/>
      <c r="K128" s="3"/>
      <c r="L128" s="3"/>
      <c r="M128" s="82"/>
      <c r="N128" s="3"/>
      <c r="O128" s="3"/>
      <c r="P128" s="3"/>
      <c r="Q128" s="3"/>
      <c r="R128" s="3"/>
      <c r="S128" s="3"/>
      <c r="T128" s="3"/>
      <c r="U128" s="11"/>
    </row>
    <row r="129" spans="2:21" x14ac:dyDescent="0.25">
      <c r="B129" s="10"/>
      <c r="C129" s="3"/>
      <c r="D129" s="3"/>
      <c r="E129" s="3"/>
      <c r="F129" s="3"/>
      <c r="G129" s="3"/>
      <c r="H129" s="82"/>
      <c r="I129" s="82"/>
      <c r="J129" s="3"/>
      <c r="K129" s="3"/>
      <c r="L129" s="3"/>
      <c r="M129" s="82"/>
      <c r="N129" s="3"/>
      <c r="O129" s="3"/>
      <c r="P129" s="3"/>
      <c r="Q129" s="3"/>
      <c r="R129" s="3"/>
      <c r="S129" s="3"/>
      <c r="T129" s="3"/>
      <c r="U129" s="11"/>
    </row>
    <row r="130" spans="2:21" x14ac:dyDescent="0.25">
      <c r="B130" s="10"/>
      <c r="C130" s="3"/>
      <c r="D130" s="270" t="s">
        <v>186</v>
      </c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  <c r="O130" s="270"/>
      <c r="P130" s="270"/>
      <c r="Q130" s="3"/>
      <c r="R130" s="3"/>
      <c r="S130" s="3"/>
      <c r="T130" s="3"/>
      <c r="U130" s="11"/>
    </row>
    <row r="131" spans="2:21" x14ac:dyDescent="0.25">
      <c r="B131" s="10"/>
      <c r="C131" s="3"/>
      <c r="D131" s="268" t="s">
        <v>22</v>
      </c>
      <c r="E131" s="222" t="s">
        <v>298</v>
      </c>
      <c r="F131" s="222" t="s">
        <v>313</v>
      </c>
      <c r="G131" s="614" t="s">
        <v>116</v>
      </c>
      <c r="H131" s="615" t="s">
        <v>273</v>
      </c>
      <c r="I131" s="268" t="s">
        <v>117</v>
      </c>
      <c r="J131" s="268" t="s">
        <v>274</v>
      </c>
      <c r="K131" s="222" t="s">
        <v>314</v>
      </c>
      <c r="L131" s="268" t="s">
        <v>277</v>
      </c>
      <c r="M131" s="268" t="s">
        <v>115</v>
      </c>
      <c r="N131" s="222" t="s">
        <v>279</v>
      </c>
      <c r="O131" s="268" t="s">
        <v>315</v>
      </c>
      <c r="P131" s="212" t="s">
        <v>316</v>
      </c>
      <c r="Q131" s="3"/>
      <c r="R131" s="3"/>
      <c r="S131" s="3"/>
      <c r="T131" s="3"/>
      <c r="U131" s="11"/>
    </row>
    <row r="132" spans="2:21" x14ac:dyDescent="0.25">
      <c r="B132" s="10"/>
      <c r="C132" s="3"/>
      <c r="D132" s="269"/>
      <c r="E132" s="616" t="s">
        <v>296</v>
      </c>
      <c r="F132" s="616" t="s">
        <v>269</v>
      </c>
      <c r="G132" s="315"/>
      <c r="H132" s="616" t="s">
        <v>271</v>
      </c>
      <c r="I132" s="269"/>
      <c r="J132" s="269"/>
      <c r="K132" s="616" t="s">
        <v>272</v>
      </c>
      <c r="L132" s="269"/>
      <c r="M132" s="269"/>
      <c r="N132" s="616" t="s">
        <v>278</v>
      </c>
      <c r="O132" s="269"/>
      <c r="P132" s="617" t="s">
        <v>281</v>
      </c>
      <c r="Q132" s="3"/>
      <c r="R132" s="3"/>
      <c r="S132" s="3"/>
      <c r="T132" s="3"/>
      <c r="U132" s="11"/>
    </row>
    <row r="133" spans="2:21" ht="15" customHeight="1" x14ac:dyDescent="0.25">
      <c r="B133" s="10"/>
      <c r="C133" s="3"/>
      <c r="D133" s="147" t="s">
        <v>14</v>
      </c>
      <c r="E133" s="162">
        <f>F111</f>
        <v>1</v>
      </c>
      <c r="F133" s="618">
        <f t="shared" ref="F133:F138" si="14">$E$127*E133</f>
        <v>7.6542989561681134</v>
      </c>
      <c r="G133" s="618">
        <f>F133-F134</f>
        <v>3.8972367793951332</v>
      </c>
      <c r="H133" s="618">
        <f t="shared" ref="H133:H138" si="15">G133*$E$125*COS($E$125*$E$124)</f>
        <v>18.807266413898152</v>
      </c>
      <c r="I133" s="205">
        <f>K8</f>
        <v>598.32365600000003</v>
      </c>
      <c r="J133" s="618">
        <v>1</v>
      </c>
      <c r="K133" s="590">
        <f t="shared" ref="K133:K138" si="16">I133*E133*J133*$E$126</f>
        <v>276.1493796923076</v>
      </c>
      <c r="L133" s="229">
        <f t="shared" ref="L133:L138" si="17">1/2*K133*F133</f>
        <v>1056.8649543626511</v>
      </c>
      <c r="M133" s="590">
        <f>'2. Propiedades de Disipador'!M82</f>
        <v>27.586206896551722</v>
      </c>
      <c r="N133" s="590">
        <f t="shared" ref="N133:N138" si="18">M133*H133</f>
        <v>518.82114245236278</v>
      </c>
      <c r="O133" s="229">
        <f t="shared" ref="O133:O138" si="19">PI()*G133*N133</f>
        <v>6352.2024481692479</v>
      </c>
      <c r="P133" s="619">
        <f>O139/(4*PI()*L139)</f>
        <v>1.3719706913278502</v>
      </c>
      <c r="Q133" s="3"/>
      <c r="R133" s="3"/>
      <c r="S133" s="3"/>
      <c r="T133" s="3"/>
      <c r="U133" s="11"/>
    </row>
    <row r="134" spans="2:21" ht="15" customHeight="1" x14ac:dyDescent="0.25">
      <c r="B134" s="10"/>
      <c r="C134" s="3"/>
      <c r="D134" s="230" t="s">
        <v>147</v>
      </c>
      <c r="E134" s="166">
        <f>F112</f>
        <v>0.49084340686032418</v>
      </c>
      <c r="F134" s="620">
        <f t="shared" si="14"/>
        <v>3.7570621767729802</v>
      </c>
      <c r="G134" s="620">
        <f>F134-F135</f>
        <v>3.897236779395139</v>
      </c>
      <c r="H134" s="620">
        <f t="shared" si="15"/>
        <v>18.80726641389818</v>
      </c>
      <c r="I134" s="206">
        <f>K9</f>
        <v>1232.5696320000002</v>
      </c>
      <c r="J134" s="620">
        <v>1</v>
      </c>
      <c r="K134" s="167">
        <f t="shared" si="16"/>
        <v>279.23015878313356</v>
      </c>
      <c r="L134" s="219">
        <f t="shared" si="17"/>
        <v>524.54253408921238</v>
      </c>
      <c r="M134" s="167">
        <f>'2. Propiedades de Disipador'!M83</f>
        <v>27.586206896551722</v>
      </c>
      <c r="N134" s="167">
        <f t="shared" si="18"/>
        <v>518.82114245236357</v>
      </c>
      <c r="O134" s="219">
        <f t="shared" si="19"/>
        <v>6352.202448169267</v>
      </c>
      <c r="P134" s="621"/>
      <c r="Q134" s="3"/>
      <c r="R134" s="3"/>
      <c r="S134" s="3"/>
      <c r="T134" s="3"/>
      <c r="U134" s="11"/>
    </row>
    <row r="135" spans="2:21" ht="15" customHeight="1" x14ac:dyDescent="0.25">
      <c r="B135" s="10"/>
      <c r="C135" s="3"/>
      <c r="D135" s="230" t="s">
        <v>17</v>
      </c>
      <c r="E135" s="166">
        <f>F113</f>
        <v>-1.8313186279352366E-2</v>
      </c>
      <c r="F135" s="620">
        <f t="shared" si="14"/>
        <v>-0.14017460262215903</v>
      </c>
      <c r="G135" s="620">
        <f>F135-F136</f>
        <v>3.897236779395135</v>
      </c>
      <c r="H135" s="620">
        <f t="shared" si="15"/>
        <v>18.807266413898159</v>
      </c>
      <c r="I135" s="206">
        <f>K10</f>
        <v>1238.7043760000001</v>
      </c>
      <c r="J135" s="620">
        <v>1</v>
      </c>
      <c r="K135" s="167">
        <f t="shared" si="16"/>
        <v>-10.46982645357089</v>
      </c>
      <c r="L135" s="219">
        <f t="shared" si="17"/>
        <v>0.733801881326134</v>
      </c>
      <c r="M135" s="167">
        <f>'2. Propiedades de Disipador'!M84</f>
        <v>27.586206896551722</v>
      </c>
      <c r="N135" s="167">
        <f t="shared" si="18"/>
        <v>518.82114245236301</v>
      </c>
      <c r="O135" s="219">
        <f t="shared" si="19"/>
        <v>6352.2024481692533</v>
      </c>
      <c r="P135" s="621"/>
      <c r="Q135" s="3"/>
      <c r="R135" s="3"/>
      <c r="S135" s="3"/>
      <c r="T135" s="3"/>
      <c r="U135" s="11"/>
    </row>
    <row r="136" spans="2:21" ht="15" customHeight="1" x14ac:dyDescent="0.25">
      <c r="B136" s="10"/>
      <c r="C136" s="3"/>
      <c r="D136" s="230" t="s">
        <v>18</v>
      </c>
      <c r="E136" s="166">
        <f>F114</f>
        <v>-0.5274697794190284</v>
      </c>
      <c r="F136" s="620">
        <f t="shared" si="14"/>
        <v>-4.0374113820172939</v>
      </c>
      <c r="G136" s="620">
        <f>F136-F137</f>
        <v>3.8972367793951381</v>
      </c>
      <c r="H136" s="620">
        <f t="shared" si="15"/>
        <v>18.807266413898176</v>
      </c>
      <c r="I136" s="206">
        <f>K11</f>
        <v>1248.6950700000002</v>
      </c>
      <c r="J136" s="620">
        <v>1</v>
      </c>
      <c r="K136" s="167">
        <f t="shared" si="16"/>
        <v>-303.99180606208989</v>
      </c>
      <c r="L136" s="219">
        <f t="shared" si="17"/>
        <v>613.66998891753781</v>
      </c>
      <c r="M136" s="167">
        <f>'2. Propiedades de Disipador'!M85</f>
        <v>58.620689655172413</v>
      </c>
      <c r="N136" s="167">
        <f t="shared" si="18"/>
        <v>1102.4949277112723</v>
      </c>
      <c r="O136" s="219">
        <f t="shared" si="19"/>
        <v>13498.430202359687</v>
      </c>
      <c r="P136" s="621"/>
      <c r="Q136" s="3"/>
      <c r="R136" s="3"/>
      <c r="S136" s="3"/>
      <c r="T136" s="3"/>
      <c r="U136" s="11"/>
    </row>
    <row r="137" spans="2:21" ht="15" customHeight="1" x14ac:dyDescent="0.25">
      <c r="B137" s="10"/>
      <c r="C137" s="3"/>
      <c r="D137" s="230" t="s">
        <v>19</v>
      </c>
      <c r="E137" s="166">
        <f>F115</f>
        <v>-1.0366263725587048</v>
      </c>
      <c r="F137" s="620">
        <f t="shared" si="14"/>
        <v>-7.934648161412432</v>
      </c>
      <c r="G137" s="620">
        <f>F137-F138</f>
        <v>3.8972367793951355</v>
      </c>
      <c r="H137" s="620">
        <f t="shared" si="15"/>
        <v>18.807266413898162</v>
      </c>
      <c r="I137" s="206">
        <f>K12</f>
        <v>1256.2289040000001</v>
      </c>
      <c r="J137" s="620">
        <v>1</v>
      </c>
      <c r="K137" s="167">
        <f t="shared" si="16"/>
        <v>-601.03385162626944</v>
      </c>
      <c r="L137" s="219">
        <f t="shared" si="17"/>
        <v>2384.4960728765054</v>
      </c>
      <c r="M137" s="167">
        <f>'2. Propiedades de Disipador'!M86</f>
        <v>58.620689655172413</v>
      </c>
      <c r="N137" s="167">
        <f t="shared" si="18"/>
        <v>1102.4949277112717</v>
      </c>
      <c r="O137" s="219">
        <f t="shared" si="19"/>
        <v>13498.43020235967</v>
      </c>
      <c r="P137" s="621"/>
      <c r="Q137" s="3"/>
      <c r="R137" s="3"/>
      <c r="S137" s="3"/>
      <c r="T137" s="3"/>
      <c r="U137" s="11"/>
    </row>
    <row r="138" spans="2:21" ht="15" customHeight="1" x14ac:dyDescent="0.25">
      <c r="B138" s="10"/>
      <c r="C138" s="3"/>
      <c r="D138" s="231" t="s">
        <v>16</v>
      </c>
      <c r="E138" s="554">
        <f>F116</f>
        <v>-1.5457829656983808</v>
      </c>
      <c r="F138" s="622">
        <f t="shared" si="14"/>
        <v>-11.831884940807567</v>
      </c>
      <c r="G138" s="622">
        <f>F138</f>
        <v>-11.831884940807567</v>
      </c>
      <c r="H138" s="622">
        <f t="shared" si="15"/>
        <v>-57.098253161537265</v>
      </c>
      <c r="I138" s="623">
        <f>K13</f>
        <v>1257.4663500000001</v>
      </c>
      <c r="J138" s="622">
        <v>1</v>
      </c>
      <c r="K138" s="569">
        <f t="shared" si="16"/>
        <v>-897.1246448164236</v>
      </c>
      <c r="L138" s="624">
        <f t="shared" si="17"/>
        <v>5307.3377875153901</v>
      </c>
      <c r="M138" s="569">
        <f>'2. Propiedades de Disipador'!M87</f>
        <v>58.620689655172413</v>
      </c>
      <c r="N138" s="569">
        <f t="shared" si="18"/>
        <v>-3347.1389784349431</v>
      </c>
      <c r="O138" s="624">
        <f t="shared" si="19"/>
        <v>124416.37848115046</v>
      </c>
      <c r="P138" s="625"/>
      <c r="Q138" s="3"/>
      <c r="R138" s="3"/>
      <c r="S138" s="3"/>
      <c r="T138" s="3"/>
      <c r="U138" s="11"/>
    </row>
    <row r="139" spans="2:21" ht="15.75" customHeight="1" x14ac:dyDescent="0.25">
      <c r="B139" s="10"/>
      <c r="C139" s="3"/>
      <c r="D139" s="223" t="s">
        <v>100</v>
      </c>
      <c r="E139" s="231"/>
      <c r="F139" s="231"/>
      <c r="G139" s="569"/>
      <c r="H139" s="569"/>
      <c r="I139" s="231"/>
      <c r="J139" s="231"/>
      <c r="K139" s="231"/>
      <c r="L139" s="624">
        <f>SUM(L133:L138)</f>
        <v>9887.6451396426237</v>
      </c>
      <c r="M139" s="569"/>
      <c r="N139" s="569"/>
      <c r="O139" s="624">
        <f>SUM(O133:O138)</f>
        <v>170469.84623037759</v>
      </c>
      <c r="P139" s="626"/>
      <c r="Q139" s="3"/>
      <c r="R139" s="3"/>
      <c r="S139" s="3"/>
      <c r="T139" s="3"/>
      <c r="U139" s="11"/>
    </row>
    <row r="140" spans="2:21" x14ac:dyDescent="0.25">
      <c r="B140" s="10"/>
      <c r="C140" s="3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3"/>
      <c r="R140" s="3"/>
      <c r="S140" s="3"/>
      <c r="T140" s="3"/>
      <c r="U140" s="11"/>
    </row>
    <row r="141" spans="2:21" x14ac:dyDescent="0.25">
      <c r="B141" s="10"/>
      <c r="C141" s="3"/>
      <c r="D141" s="426" t="s">
        <v>187</v>
      </c>
      <c r="E141" s="426"/>
      <c r="F141" s="426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3"/>
      <c r="R141" s="3"/>
      <c r="S141" s="3"/>
      <c r="T141" s="3"/>
      <c r="U141" s="11"/>
    </row>
    <row r="142" spans="2:21" x14ac:dyDescent="0.25">
      <c r="B142" s="10"/>
      <c r="C142" s="3"/>
      <c r="D142" s="268" t="s">
        <v>22</v>
      </c>
      <c r="E142" s="222" t="s">
        <v>298</v>
      </c>
      <c r="F142" s="222" t="s">
        <v>313</v>
      </c>
      <c r="G142" s="614" t="s">
        <v>116</v>
      </c>
      <c r="H142" s="615" t="s">
        <v>273</v>
      </c>
      <c r="I142" s="268" t="s">
        <v>117</v>
      </c>
      <c r="J142" s="268" t="s">
        <v>274</v>
      </c>
      <c r="K142" s="222" t="s">
        <v>314</v>
      </c>
      <c r="L142" s="268" t="s">
        <v>277</v>
      </c>
      <c r="M142" s="268" t="s">
        <v>115</v>
      </c>
      <c r="N142" s="222" t="s">
        <v>279</v>
      </c>
      <c r="O142" s="268" t="s">
        <v>315</v>
      </c>
      <c r="P142" s="212" t="s">
        <v>316</v>
      </c>
      <c r="Q142" s="3"/>
      <c r="R142" s="3"/>
      <c r="S142" s="3"/>
      <c r="T142" s="3"/>
      <c r="U142" s="11"/>
    </row>
    <row r="143" spans="2:21" x14ac:dyDescent="0.25">
      <c r="B143" s="10"/>
      <c r="C143" s="3"/>
      <c r="D143" s="269"/>
      <c r="E143" s="616" t="s">
        <v>296</v>
      </c>
      <c r="F143" s="616" t="s">
        <v>269</v>
      </c>
      <c r="G143" s="315"/>
      <c r="H143" s="616" t="s">
        <v>271</v>
      </c>
      <c r="I143" s="269"/>
      <c r="J143" s="269"/>
      <c r="K143" s="616" t="s">
        <v>272</v>
      </c>
      <c r="L143" s="269"/>
      <c r="M143" s="269"/>
      <c r="N143" s="616" t="s">
        <v>278</v>
      </c>
      <c r="O143" s="269"/>
      <c r="P143" s="617" t="s">
        <v>281</v>
      </c>
      <c r="Q143" s="3"/>
      <c r="R143" s="3"/>
      <c r="S143" s="3"/>
      <c r="T143" s="3"/>
      <c r="U143" s="11"/>
    </row>
    <row r="144" spans="2:21" ht="15" customHeight="1" x14ac:dyDescent="0.25">
      <c r="B144" s="10"/>
      <c r="C144" s="3"/>
      <c r="D144" s="147" t="s">
        <v>14</v>
      </c>
      <c r="E144" s="162">
        <f>F111</f>
        <v>1</v>
      </c>
      <c r="F144" s="618">
        <f t="shared" ref="F144:F149" si="20">$H$127*E144</f>
        <v>5.2570869602189285</v>
      </c>
      <c r="G144" s="618">
        <f>F144-F145</f>
        <v>2.6766804865040843</v>
      </c>
      <c r="H144" s="618">
        <f t="shared" ref="H144:H149" si="21">G144*$H$125*COS($H$125*$H$124)</f>
        <v>18.837454642491899</v>
      </c>
      <c r="I144" s="205">
        <f>K8</f>
        <v>598.32365600000003</v>
      </c>
      <c r="J144" s="618">
        <v>1</v>
      </c>
      <c r="K144" s="590">
        <f t="shared" ref="K144:K149" si="22">I144*E144*J144*$H$126</f>
        <v>403.36426247191008</v>
      </c>
      <c r="L144" s="229">
        <f t="shared" ref="L144:L149" si="23">1/2*K144*F144</f>
        <v>1060.2605022297018</v>
      </c>
      <c r="M144" s="590">
        <f>'2. Propiedades de Disipador'!N82</f>
        <v>34.482758620689651</v>
      </c>
      <c r="N144" s="590">
        <f t="shared" ref="N144:N149" si="24">M144*H144</f>
        <v>649.56740146523782</v>
      </c>
      <c r="O144" s="229">
        <f t="shared" ref="O144:O149" si="25">PI()*G144*N144</f>
        <v>5462.2381007898011</v>
      </c>
      <c r="P144" s="619">
        <f>O150/(4*PI()*L150)</f>
        <v>1.1145328699291945</v>
      </c>
      <c r="Q144" s="3"/>
      <c r="R144" s="3"/>
      <c r="S144" s="3"/>
      <c r="T144" s="3"/>
      <c r="U144" s="11"/>
    </row>
    <row r="145" spans="2:21" ht="15" customHeight="1" x14ac:dyDescent="0.25">
      <c r="B145" s="10"/>
      <c r="C145" s="3"/>
      <c r="D145" s="230" t="s">
        <v>147</v>
      </c>
      <c r="E145" s="166">
        <f>F112</f>
        <v>0.49084340686032418</v>
      </c>
      <c r="F145" s="620">
        <f t="shared" si="20"/>
        <v>2.5804064737148442</v>
      </c>
      <c r="G145" s="620">
        <f>F145-F146</f>
        <v>2.6766804865040879</v>
      </c>
      <c r="H145" s="620">
        <f t="shared" si="21"/>
        <v>18.837454642491924</v>
      </c>
      <c r="I145" s="206">
        <f>K9</f>
        <v>1232.5696320000002</v>
      </c>
      <c r="J145" s="620">
        <v>1</v>
      </c>
      <c r="K145" s="167">
        <f t="shared" si="22"/>
        <v>407.86427687424003</v>
      </c>
      <c r="L145" s="219">
        <f t="shared" si="23"/>
        <v>526.22781022165634</v>
      </c>
      <c r="M145" s="167">
        <f>'2. Propiedades de Disipador'!N83</f>
        <v>34.482758620689651</v>
      </c>
      <c r="N145" s="167">
        <f t="shared" si="24"/>
        <v>649.56740146523873</v>
      </c>
      <c r="O145" s="219">
        <f t="shared" si="25"/>
        <v>5462.2381007898157</v>
      </c>
      <c r="P145" s="621"/>
      <c r="Q145" s="3"/>
      <c r="R145" s="3"/>
      <c r="S145" s="3"/>
      <c r="T145" s="3"/>
      <c r="U145" s="11"/>
    </row>
    <row r="146" spans="2:21" ht="15" customHeight="1" x14ac:dyDescent="0.25">
      <c r="B146" s="10"/>
      <c r="C146" s="3"/>
      <c r="D146" s="230" t="s">
        <v>17</v>
      </c>
      <c r="E146" s="166">
        <f>F113</f>
        <v>-1.8313186279352366E-2</v>
      </c>
      <c r="F146" s="620">
        <f t="shared" si="20"/>
        <v>-9.6274012789243524E-2</v>
      </c>
      <c r="G146" s="620">
        <f>F146-F147</f>
        <v>2.6766804865040852</v>
      </c>
      <c r="H146" s="620">
        <f t="shared" si="21"/>
        <v>18.837454642491902</v>
      </c>
      <c r="I146" s="206">
        <f>K10</f>
        <v>1238.7043760000001</v>
      </c>
      <c r="J146" s="620">
        <v>1</v>
      </c>
      <c r="K146" s="167">
        <f t="shared" si="22"/>
        <v>-15.293004932182201</v>
      </c>
      <c r="L146" s="219">
        <f t="shared" si="23"/>
        <v>0.7361594762134368</v>
      </c>
      <c r="M146" s="167">
        <f>'2. Propiedades de Disipador'!N84</f>
        <v>34.482758620689651</v>
      </c>
      <c r="N146" s="167">
        <f t="shared" si="24"/>
        <v>649.56740146523794</v>
      </c>
      <c r="O146" s="219">
        <f t="shared" si="25"/>
        <v>5462.2381007898048</v>
      </c>
      <c r="P146" s="621"/>
      <c r="Q146" s="3"/>
      <c r="R146" s="3"/>
      <c r="S146" s="3"/>
      <c r="T146" s="3"/>
      <c r="U146" s="11"/>
    </row>
    <row r="147" spans="2:21" ht="15" customHeight="1" x14ac:dyDescent="0.25">
      <c r="B147" s="10"/>
      <c r="C147" s="3"/>
      <c r="D147" s="230" t="s">
        <v>18</v>
      </c>
      <c r="E147" s="166">
        <f>F114</f>
        <v>-0.5274697794190284</v>
      </c>
      <c r="F147" s="620">
        <f t="shared" si="20"/>
        <v>-2.7729544992933288</v>
      </c>
      <c r="G147" s="620">
        <f>F147-F148</f>
        <v>2.676680486504087</v>
      </c>
      <c r="H147" s="620">
        <f t="shared" si="21"/>
        <v>18.837454642491917</v>
      </c>
      <c r="I147" s="206">
        <f>K11</f>
        <v>1248.6950700000002</v>
      </c>
      <c r="J147" s="620">
        <v>1</v>
      </c>
      <c r="K147" s="167">
        <f t="shared" si="22"/>
        <v>-444.03297514687296</v>
      </c>
      <c r="L147" s="219">
        <f t="shared" si="23"/>
        <v>615.64161813406213</v>
      </c>
      <c r="M147" s="167">
        <f>'2. Propiedades de Disipador'!N85</f>
        <v>68.965517241379303</v>
      </c>
      <c r="N147" s="167">
        <f t="shared" si="24"/>
        <v>1299.1348029304768</v>
      </c>
      <c r="O147" s="219">
        <f t="shared" si="25"/>
        <v>10924.476201579624</v>
      </c>
      <c r="P147" s="621"/>
      <c r="Q147" s="3"/>
      <c r="R147" s="3"/>
      <c r="S147" s="3"/>
      <c r="T147" s="3"/>
      <c r="U147" s="11"/>
    </row>
    <row r="148" spans="2:21" ht="15" customHeight="1" x14ac:dyDescent="0.25">
      <c r="B148" s="10"/>
      <c r="C148" s="3"/>
      <c r="D148" s="230" t="s">
        <v>19</v>
      </c>
      <c r="E148" s="166">
        <f>F115</f>
        <v>-1.0366263725587048</v>
      </c>
      <c r="F148" s="620">
        <f t="shared" si="20"/>
        <v>-5.4496349857974158</v>
      </c>
      <c r="G148" s="620">
        <f>F148-F149</f>
        <v>2.6766804865040852</v>
      </c>
      <c r="H148" s="620">
        <f t="shared" si="21"/>
        <v>18.837454642491902</v>
      </c>
      <c r="I148" s="206">
        <f>K12</f>
        <v>1256.2289040000001</v>
      </c>
      <c r="J148" s="620">
        <v>1</v>
      </c>
      <c r="K148" s="167">
        <f t="shared" si="22"/>
        <v>-877.91461473500044</v>
      </c>
      <c r="L148" s="219">
        <f t="shared" si="23"/>
        <v>2392.157099501359</v>
      </c>
      <c r="M148" s="167">
        <f>'2. Propiedades de Disipador'!N86</f>
        <v>68.965517241379303</v>
      </c>
      <c r="N148" s="167">
        <f t="shared" si="24"/>
        <v>1299.1348029304759</v>
      </c>
      <c r="O148" s="219">
        <f t="shared" si="25"/>
        <v>10924.47620157961</v>
      </c>
      <c r="P148" s="621"/>
      <c r="Q148" s="3"/>
      <c r="R148" s="3"/>
      <c r="S148" s="3"/>
      <c r="T148" s="3"/>
      <c r="U148" s="11"/>
    </row>
    <row r="149" spans="2:21" ht="15" customHeight="1" x14ac:dyDescent="0.25">
      <c r="B149" s="10"/>
      <c r="C149" s="3"/>
      <c r="D149" s="231" t="s">
        <v>16</v>
      </c>
      <c r="E149" s="554">
        <f>F116</f>
        <v>-1.5457829656983808</v>
      </c>
      <c r="F149" s="622">
        <f t="shared" si="20"/>
        <v>-8.126315472301501</v>
      </c>
      <c r="G149" s="622">
        <f>F149</f>
        <v>-8.126315472301501</v>
      </c>
      <c r="H149" s="622">
        <f t="shared" si="21"/>
        <v>-57.189903648152914</v>
      </c>
      <c r="I149" s="623">
        <f>K13</f>
        <v>1257.4663500000001</v>
      </c>
      <c r="J149" s="622">
        <v>1</v>
      </c>
      <c r="K149" s="569">
        <f t="shared" si="22"/>
        <v>-1310.4067845633156</v>
      </c>
      <c r="L149" s="624">
        <f t="shared" si="23"/>
        <v>5324.3894642028654</v>
      </c>
      <c r="M149" s="569">
        <f>'2. Propiedades de Disipador'!N87</f>
        <v>68.965517241379303</v>
      </c>
      <c r="N149" s="569">
        <f t="shared" si="24"/>
        <v>-3944.131286079511</v>
      </c>
      <c r="O149" s="624">
        <f t="shared" si="25"/>
        <v>100691.98754433314</v>
      </c>
      <c r="P149" s="625"/>
      <c r="Q149" s="3"/>
      <c r="R149" s="3"/>
      <c r="S149" s="3"/>
      <c r="T149" s="3"/>
      <c r="U149" s="11"/>
    </row>
    <row r="150" spans="2:21" ht="15.75" customHeight="1" x14ac:dyDescent="0.25">
      <c r="B150" s="10"/>
      <c r="C150" s="3"/>
      <c r="D150" s="223" t="s">
        <v>100</v>
      </c>
      <c r="E150" s="231"/>
      <c r="F150" s="231"/>
      <c r="G150" s="569"/>
      <c r="H150" s="569"/>
      <c r="I150" s="231"/>
      <c r="J150" s="231"/>
      <c r="K150" s="569">
        <f>SUM(K144:K149)</f>
        <v>-1836.418840031221</v>
      </c>
      <c r="L150" s="624">
        <f>SUM(L144:L149)</f>
        <v>9919.4126537658594</v>
      </c>
      <c r="M150" s="569"/>
      <c r="N150" s="569"/>
      <c r="O150" s="624">
        <f>SUM(O144:O149)</f>
        <v>138927.65424986178</v>
      </c>
      <c r="P150" s="626"/>
      <c r="Q150" s="3"/>
      <c r="R150" s="3"/>
      <c r="S150" s="3"/>
      <c r="T150" s="3"/>
      <c r="U150" s="11"/>
    </row>
    <row r="151" spans="2:21" x14ac:dyDescent="0.25">
      <c r="B151" s="10"/>
      <c r="C151" s="3"/>
      <c r="D151" s="3"/>
      <c r="E151" s="3"/>
      <c r="F151" s="3"/>
      <c r="G151" s="3"/>
      <c r="H151" s="82"/>
      <c r="I151" s="82"/>
      <c r="J151" s="3"/>
      <c r="K151" s="3"/>
      <c r="L151" s="3"/>
      <c r="M151" s="82"/>
      <c r="N151" s="3"/>
      <c r="O151" s="3"/>
      <c r="P151" s="3"/>
      <c r="Q151" s="3"/>
      <c r="R151" s="3"/>
      <c r="S151" s="3"/>
      <c r="T151" s="3"/>
      <c r="U151" s="11"/>
    </row>
    <row r="152" spans="2:21" ht="15.75" thickBot="1" x14ac:dyDescent="0.3">
      <c r="B152" s="23"/>
      <c r="C152" s="24"/>
      <c r="D152" s="24"/>
      <c r="E152" s="24"/>
      <c r="F152" s="24"/>
      <c r="G152" s="24"/>
      <c r="H152" s="208"/>
      <c r="I152" s="208"/>
      <c r="J152" s="24"/>
      <c r="K152" s="24"/>
      <c r="L152" s="24"/>
      <c r="M152" s="208"/>
      <c r="N152" s="24"/>
      <c r="O152" s="24"/>
      <c r="P152" s="24"/>
      <c r="Q152" s="24"/>
      <c r="R152" s="24"/>
      <c r="S152" s="24"/>
      <c r="T152" s="24"/>
      <c r="U152" s="25"/>
    </row>
    <row r="153" spans="2:21" x14ac:dyDescent="0.25">
      <c r="B153" s="7"/>
      <c r="C153" s="8"/>
      <c r="D153" s="8"/>
      <c r="E153" s="8"/>
      <c r="F153" s="8"/>
      <c r="G153" s="8"/>
      <c r="H153" s="220"/>
      <c r="I153" s="220"/>
      <c r="J153" s="8"/>
      <c r="K153" s="8"/>
      <c r="L153" s="8"/>
      <c r="M153" s="220"/>
      <c r="N153" s="8"/>
      <c r="O153" s="8"/>
      <c r="P153" s="8"/>
      <c r="Q153" s="8"/>
      <c r="R153" s="8"/>
      <c r="S153" s="8"/>
      <c r="T153" s="8"/>
      <c r="U153" s="9"/>
    </row>
    <row r="154" spans="2:21" x14ac:dyDescent="0.25">
      <c r="B154" s="10"/>
      <c r="C154" s="277" t="s">
        <v>482</v>
      </c>
      <c r="D154" s="277"/>
      <c r="E154" s="277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11"/>
    </row>
    <row r="155" spans="2:21" x14ac:dyDescent="0.25">
      <c r="B155" s="10"/>
      <c r="C155" s="277"/>
      <c r="D155" s="277"/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77"/>
      <c r="U155" s="11"/>
    </row>
    <row r="156" spans="2:21" x14ac:dyDescent="0.25">
      <c r="B156" s="10"/>
      <c r="C156" s="3"/>
      <c r="D156" s="3"/>
      <c r="E156" s="3"/>
      <c r="F156" s="3"/>
      <c r="G156" s="3"/>
      <c r="H156" s="82"/>
      <c r="I156" s="82"/>
      <c r="J156" s="3"/>
      <c r="K156" s="3"/>
      <c r="L156" s="3"/>
      <c r="M156" s="82"/>
      <c r="N156" s="3"/>
      <c r="O156" s="3"/>
      <c r="P156" s="3"/>
      <c r="Q156" s="3"/>
      <c r="R156" s="3"/>
      <c r="S156" s="3"/>
      <c r="T156" s="3"/>
      <c r="U156" s="11"/>
    </row>
    <row r="157" spans="2:21" x14ac:dyDescent="0.25">
      <c r="B157" s="10"/>
      <c r="C157" s="3"/>
      <c r="D157" s="250" t="s">
        <v>188</v>
      </c>
      <c r="E157" s="250"/>
      <c r="F157" s="250"/>
      <c r="G157" s="250"/>
      <c r="H157" s="250"/>
      <c r="I157" s="250"/>
      <c r="J157" s="3"/>
      <c r="K157" s="3"/>
      <c r="L157" s="3"/>
      <c r="M157" s="82"/>
      <c r="N157" s="3"/>
      <c r="O157" s="3"/>
      <c r="P157" s="3"/>
      <c r="Q157" s="3"/>
      <c r="R157" s="3"/>
      <c r="S157" s="3"/>
      <c r="T157" s="3"/>
      <c r="U157" s="11"/>
    </row>
    <row r="158" spans="2:21" x14ac:dyDescent="0.25">
      <c r="B158" s="10"/>
      <c r="C158" s="3"/>
      <c r="D158" s="268" t="str">
        <f>C30</f>
        <v>Nivel</v>
      </c>
      <c r="E158" s="268" t="s">
        <v>251</v>
      </c>
      <c r="F158" s="655" t="s">
        <v>253</v>
      </c>
      <c r="G158" s="222" t="s">
        <v>297</v>
      </c>
      <c r="H158" s="222" t="s">
        <v>298</v>
      </c>
      <c r="I158" s="222" t="s">
        <v>317</v>
      </c>
      <c r="J158" s="3"/>
      <c r="K158" s="3"/>
      <c r="L158" s="3"/>
      <c r="M158" s="82"/>
      <c r="N158" s="3"/>
      <c r="O158" s="3"/>
      <c r="P158" s="3"/>
      <c r="Q158" s="3"/>
      <c r="R158" s="3"/>
      <c r="S158" s="3"/>
      <c r="T158" s="3"/>
      <c r="U158" s="11"/>
    </row>
    <row r="159" spans="2:21" ht="12.75" customHeight="1" x14ac:dyDescent="0.25">
      <c r="B159" s="10"/>
      <c r="C159" s="3"/>
      <c r="D159" s="269"/>
      <c r="E159" s="269"/>
      <c r="F159" s="656"/>
      <c r="G159" s="581" t="s">
        <v>250</v>
      </c>
      <c r="H159" s="581" t="s">
        <v>296</v>
      </c>
      <c r="I159" s="581" t="s">
        <v>318</v>
      </c>
      <c r="J159" s="3"/>
      <c r="K159" s="3"/>
      <c r="L159" s="3"/>
      <c r="M159" s="82"/>
      <c r="N159" s="3"/>
      <c r="O159" s="3"/>
      <c r="P159" s="3"/>
      <c r="Q159" s="3"/>
      <c r="R159" s="3"/>
      <c r="S159" s="3"/>
      <c r="T159" s="3"/>
      <c r="U159" s="11"/>
    </row>
    <row r="160" spans="2:21" x14ac:dyDescent="0.25">
      <c r="B160" s="10"/>
      <c r="C160" s="3"/>
      <c r="D160" s="230" t="str">
        <f>C32</f>
        <v>Techo</v>
      </c>
      <c r="E160" s="124">
        <f>D32</f>
        <v>72</v>
      </c>
      <c r="F160" s="164">
        <f>K8</f>
        <v>598.32365600000003</v>
      </c>
      <c r="G160" s="657">
        <f>F32</f>
        <v>1</v>
      </c>
      <c r="H160" s="657">
        <f>F111</f>
        <v>1</v>
      </c>
      <c r="I160" s="164">
        <f>F160*G160*H160</f>
        <v>598.32365600000003</v>
      </c>
      <c r="J160" s="3"/>
      <c r="K160" s="3"/>
      <c r="L160" s="3"/>
      <c r="M160" s="82"/>
      <c r="N160" s="3"/>
      <c r="O160" s="3"/>
      <c r="P160" s="3"/>
      <c r="Q160" s="3"/>
      <c r="R160" s="3"/>
      <c r="S160" s="3"/>
      <c r="T160" s="3"/>
      <c r="U160" s="11"/>
    </row>
    <row r="161" spans="2:21" x14ac:dyDescent="0.25">
      <c r="B161" s="10"/>
      <c r="C161" s="3"/>
      <c r="D161" s="230" t="str">
        <f>C33</f>
        <v>Piso 6</v>
      </c>
      <c r="E161" s="124">
        <f>D33</f>
        <v>60</v>
      </c>
      <c r="F161" s="164">
        <f>K9</f>
        <v>1232.5696320000002</v>
      </c>
      <c r="G161" s="657">
        <f>F33</f>
        <v>0.83333333333333337</v>
      </c>
      <c r="H161" s="657">
        <f>F112</f>
        <v>0.49084340686032418</v>
      </c>
      <c r="I161" s="164">
        <f t="shared" ref="I161:I166" si="26">F161*G161*H161</f>
        <v>504.16556446954684</v>
      </c>
      <c r="J161" s="3"/>
      <c r="K161" s="3"/>
      <c r="L161" s="3"/>
      <c r="M161" s="82"/>
      <c r="N161" s="3"/>
      <c r="O161" s="3"/>
      <c r="P161" s="3"/>
      <c r="Q161" s="3"/>
      <c r="R161" s="3"/>
      <c r="S161" s="3"/>
      <c r="T161" s="3"/>
      <c r="U161" s="11"/>
    </row>
    <row r="162" spans="2:21" x14ac:dyDescent="0.25">
      <c r="B162" s="10"/>
      <c r="C162" s="3"/>
      <c r="D162" s="230" t="str">
        <f>C34</f>
        <v>Piso 5</v>
      </c>
      <c r="E162" s="124">
        <f>D34</f>
        <v>48</v>
      </c>
      <c r="F162" s="164">
        <f>K10</f>
        <v>1238.7043760000001</v>
      </c>
      <c r="G162" s="657">
        <f>F34</f>
        <v>0.66666666666666663</v>
      </c>
      <c r="H162" s="657">
        <f>F113</f>
        <v>-1.8313186279352366E-2</v>
      </c>
      <c r="I162" s="164">
        <f t="shared" si="26"/>
        <v>-15.123082655157958</v>
      </c>
      <c r="J162" s="3"/>
      <c r="K162" s="3"/>
      <c r="L162" s="3"/>
      <c r="M162" s="82"/>
      <c r="N162" s="3"/>
      <c r="O162" s="3"/>
      <c r="P162" s="3"/>
      <c r="Q162" s="3"/>
      <c r="R162" s="3"/>
      <c r="S162" s="3"/>
      <c r="T162" s="3"/>
      <c r="U162" s="11"/>
    </row>
    <row r="163" spans="2:21" x14ac:dyDescent="0.25">
      <c r="B163" s="10"/>
      <c r="C163" s="3"/>
      <c r="D163" s="230" t="str">
        <f>C35</f>
        <v>Piso 4</v>
      </c>
      <c r="E163" s="124">
        <f>D35</f>
        <v>36</v>
      </c>
      <c r="F163" s="164">
        <f>K11</f>
        <v>1248.6950700000002</v>
      </c>
      <c r="G163" s="657">
        <f>F35</f>
        <v>0.5</v>
      </c>
      <c r="H163" s="657">
        <f>F114</f>
        <v>-0.5274697794190284</v>
      </c>
      <c r="I163" s="164">
        <f t="shared" si="26"/>
        <v>-329.32445656726418</v>
      </c>
      <c r="J163" s="3"/>
      <c r="K163" s="3"/>
      <c r="L163" s="3"/>
      <c r="M163" s="82"/>
      <c r="N163" s="3"/>
      <c r="O163" s="3"/>
      <c r="P163" s="3"/>
      <c r="Q163" s="3"/>
      <c r="R163" s="3"/>
      <c r="S163" s="3"/>
      <c r="T163" s="3"/>
      <c r="U163" s="11"/>
    </row>
    <row r="164" spans="2:21" x14ac:dyDescent="0.25">
      <c r="B164" s="10"/>
      <c r="C164" s="3"/>
      <c r="D164" s="230" t="str">
        <f>C36</f>
        <v>Piso 3</v>
      </c>
      <c r="E164" s="124">
        <f>D36</f>
        <v>24</v>
      </c>
      <c r="F164" s="164">
        <f>K12</f>
        <v>1256.2289040000001</v>
      </c>
      <c r="G164" s="657">
        <f>F36</f>
        <v>0.33333333333333331</v>
      </c>
      <c r="H164" s="657">
        <f>F115</f>
        <v>-1.0366263725587048</v>
      </c>
      <c r="I164" s="164">
        <f t="shared" si="26"/>
        <v>-434.08000395230584</v>
      </c>
      <c r="J164" s="3"/>
      <c r="K164" s="3"/>
      <c r="L164" s="3"/>
      <c r="M164" s="82"/>
      <c r="N164" s="3"/>
      <c r="O164" s="3"/>
      <c r="P164" s="3"/>
      <c r="Q164" s="3"/>
      <c r="R164" s="3"/>
      <c r="S164" s="3"/>
      <c r="T164" s="3"/>
      <c r="U164" s="11"/>
    </row>
    <row r="165" spans="2:21" x14ac:dyDescent="0.25">
      <c r="B165" s="10"/>
      <c r="C165" s="3"/>
      <c r="D165" s="230" t="str">
        <f>C37</f>
        <v>Piso 2</v>
      </c>
      <c r="E165" s="124">
        <f>D37</f>
        <v>12</v>
      </c>
      <c r="F165" s="164">
        <f>K13</f>
        <v>1257.4663500000001</v>
      </c>
      <c r="G165" s="657">
        <f>F37</f>
        <v>0.16666666666666666</v>
      </c>
      <c r="H165" s="657">
        <f>F116</f>
        <v>-1.5457829656983808</v>
      </c>
      <c r="I165" s="164">
        <f t="shared" si="26"/>
        <v>-323.96167729481971</v>
      </c>
      <c r="J165" s="3"/>
      <c r="K165" s="3"/>
      <c r="L165" s="3"/>
      <c r="M165" s="82"/>
      <c r="N165" s="3"/>
      <c r="O165" s="3"/>
      <c r="P165" s="3"/>
      <c r="Q165" s="3"/>
      <c r="R165" s="3"/>
      <c r="S165" s="3"/>
      <c r="T165" s="3"/>
      <c r="U165" s="11"/>
    </row>
    <row r="166" spans="2:21" x14ac:dyDescent="0.25">
      <c r="B166" s="10"/>
      <c r="C166" s="3"/>
      <c r="D166" s="231" t="str">
        <f>C38</f>
        <v>Base</v>
      </c>
      <c r="E166" s="125">
        <f>D38</f>
        <v>0</v>
      </c>
      <c r="F166" s="572">
        <f>K14</f>
        <v>21.788774</v>
      </c>
      <c r="G166" s="658">
        <f>F38</f>
        <v>0</v>
      </c>
      <c r="H166" s="658">
        <f>F117</f>
        <v>0</v>
      </c>
      <c r="I166" s="125">
        <f t="shared" si="26"/>
        <v>0</v>
      </c>
      <c r="J166" s="3"/>
      <c r="K166" s="3"/>
      <c r="L166" s="3"/>
      <c r="M166" s="82"/>
      <c r="N166" s="3"/>
      <c r="O166" s="3"/>
      <c r="P166" s="3"/>
      <c r="Q166" s="3"/>
      <c r="R166" s="3"/>
      <c r="S166" s="3"/>
      <c r="T166" s="3"/>
      <c r="U166" s="11"/>
    </row>
    <row r="167" spans="2:21" x14ac:dyDescent="0.25">
      <c r="B167" s="10"/>
      <c r="C167" s="3"/>
      <c r="D167" s="126" t="s">
        <v>101</v>
      </c>
      <c r="E167" s="125"/>
      <c r="F167" s="572">
        <f>SUM(F160:F166)</f>
        <v>6853.7767620000004</v>
      </c>
      <c r="G167" s="572"/>
      <c r="H167" s="572"/>
      <c r="I167" s="659">
        <f>SUM(I160:I166)</f>
        <v>-9.0949470177292824E-13</v>
      </c>
      <c r="J167" s="3"/>
      <c r="K167" s="3"/>
      <c r="L167" s="3"/>
      <c r="M167" s="82"/>
      <c r="N167" s="3"/>
      <c r="O167" s="3"/>
      <c r="P167" s="3"/>
      <c r="Q167" s="3"/>
      <c r="R167" s="3"/>
      <c r="S167" s="3"/>
      <c r="T167" s="3"/>
      <c r="U167" s="11"/>
    </row>
    <row r="168" spans="2:21" x14ac:dyDescent="0.25">
      <c r="B168" s="10"/>
      <c r="C168" s="3"/>
      <c r="D168" s="3"/>
      <c r="E168" s="3"/>
      <c r="F168" s="3"/>
      <c r="G168" s="3"/>
      <c r="H168" s="82"/>
      <c r="I168" s="82"/>
      <c r="J168" s="3"/>
      <c r="K168" s="3"/>
      <c r="L168" s="3"/>
      <c r="M168" s="82"/>
      <c r="N168" s="3"/>
      <c r="O168" s="3"/>
      <c r="P168" s="3"/>
      <c r="Q168" s="3"/>
      <c r="R168" s="3"/>
      <c r="S168" s="3"/>
      <c r="T168" s="3"/>
      <c r="U168" s="11"/>
    </row>
    <row r="169" spans="2:21" ht="15.75" thickBot="1" x14ac:dyDescent="0.3">
      <c r="B169" s="23"/>
      <c r="C169" s="24"/>
      <c r="D169" s="24"/>
      <c r="E169" s="24"/>
      <c r="F169" s="24"/>
      <c r="G169" s="24"/>
      <c r="H169" s="208"/>
      <c r="I169" s="208"/>
      <c r="J169" s="24"/>
      <c r="K169" s="24"/>
      <c r="L169" s="24"/>
      <c r="M169" s="208"/>
      <c r="N169" s="24"/>
      <c r="O169" s="24"/>
      <c r="P169" s="24"/>
      <c r="Q169" s="24"/>
      <c r="R169" s="24"/>
      <c r="S169" s="24"/>
      <c r="T169" s="24"/>
      <c r="U169" s="25"/>
    </row>
    <row r="170" spans="2:21" x14ac:dyDescent="0.25">
      <c r="B170" s="1"/>
      <c r="C170" s="1"/>
      <c r="D170" s="1"/>
      <c r="E170" s="1"/>
      <c r="F170" s="1"/>
      <c r="G170" s="1"/>
      <c r="H170" s="576"/>
      <c r="I170" s="576"/>
      <c r="J170" s="1"/>
      <c r="K170" s="1"/>
      <c r="L170" s="1"/>
      <c r="M170" s="576"/>
      <c r="N170" s="1"/>
      <c r="O170" s="1"/>
      <c r="P170" s="1"/>
      <c r="Q170" s="1"/>
      <c r="R170" s="1"/>
    </row>
    <row r="171" spans="2:21" ht="15.75" thickBot="1" x14ac:dyDescent="0.3">
      <c r="B171" s="1"/>
      <c r="C171" s="1"/>
      <c r="D171" s="1"/>
      <c r="E171" s="1"/>
      <c r="F171" s="1"/>
      <c r="G171" s="1"/>
      <c r="H171" s="576"/>
      <c r="I171" s="576"/>
      <c r="J171" s="1"/>
      <c r="K171" s="1"/>
      <c r="L171" s="1"/>
      <c r="M171" s="576"/>
      <c r="N171" s="1"/>
      <c r="O171" s="1"/>
      <c r="P171" s="1"/>
      <c r="Q171" s="1"/>
      <c r="R171" s="1"/>
    </row>
    <row r="172" spans="2:21" ht="15" customHeight="1" x14ac:dyDescent="0.25">
      <c r="B172" s="480" t="s">
        <v>483</v>
      </c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  <c r="N172" s="481"/>
      <c r="O172" s="481"/>
      <c r="P172" s="481"/>
      <c r="Q172" s="481"/>
      <c r="R172" s="481"/>
      <c r="S172" s="481"/>
      <c r="T172" s="481"/>
      <c r="U172" s="482"/>
    </row>
    <row r="173" spans="2:21" ht="15.75" customHeight="1" thickBot="1" x14ac:dyDescent="0.3">
      <c r="B173" s="483"/>
      <c r="C173" s="484"/>
      <c r="D173" s="484"/>
      <c r="E173" s="484"/>
      <c r="F173" s="484"/>
      <c r="G173" s="484"/>
      <c r="H173" s="484"/>
      <c r="I173" s="484"/>
      <c r="J173" s="484"/>
      <c r="K173" s="484"/>
      <c r="L173" s="484"/>
      <c r="M173" s="484"/>
      <c r="N173" s="484"/>
      <c r="O173" s="484"/>
      <c r="P173" s="484"/>
      <c r="Q173" s="484"/>
      <c r="R173" s="484"/>
      <c r="S173" s="484"/>
      <c r="T173" s="484"/>
      <c r="U173" s="485"/>
    </row>
    <row r="174" spans="2:21" x14ac:dyDescent="0.25">
      <c r="B174" s="7"/>
      <c r="C174" s="8"/>
      <c r="D174" s="8"/>
      <c r="E174" s="8"/>
      <c r="F174" s="8"/>
      <c r="G174" s="8"/>
      <c r="H174" s="220"/>
      <c r="I174" s="220"/>
      <c r="J174" s="8"/>
      <c r="K174" s="8"/>
      <c r="L174" s="8"/>
      <c r="M174" s="220"/>
      <c r="N174" s="8"/>
      <c r="O174" s="8"/>
      <c r="P174" s="8"/>
      <c r="Q174" s="8"/>
      <c r="R174" s="8"/>
      <c r="S174" s="8"/>
      <c r="T174" s="8"/>
      <c r="U174" s="9"/>
    </row>
    <row r="175" spans="2:21" x14ac:dyDescent="0.25">
      <c r="B175" s="10"/>
      <c r="C175" s="3"/>
      <c r="D175" s="3"/>
      <c r="E175" s="3"/>
      <c r="F175" s="3"/>
      <c r="G175" s="3"/>
      <c r="H175" s="82"/>
      <c r="I175" s="82"/>
      <c r="J175" s="3"/>
      <c r="K175" s="3"/>
      <c r="L175" s="3"/>
      <c r="M175" s="82"/>
      <c r="N175" s="3"/>
      <c r="O175" s="3"/>
      <c r="P175" s="3"/>
      <c r="Q175" s="3"/>
      <c r="R175" s="3"/>
      <c r="S175" s="3"/>
      <c r="T175" s="3"/>
      <c r="U175" s="11"/>
    </row>
    <row r="176" spans="2:21" x14ac:dyDescent="0.25">
      <c r="B176" s="10"/>
      <c r="C176" s="250" t="s">
        <v>189</v>
      </c>
      <c r="D176" s="250"/>
      <c r="E176" s="250"/>
      <c r="F176" s="250"/>
      <c r="G176" s="250"/>
      <c r="H176" s="250"/>
      <c r="I176" s="250"/>
      <c r="J176" s="250"/>
      <c r="K176" s="250"/>
      <c r="L176" s="3"/>
      <c r="M176" s="82"/>
      <c r="N176" s="3"/>
      <c r="O176" s="3"/>
      <c r="P176" s="3"/>
      <c r="Q176" s="3"/>
      <c r="R176" s="3"/>
      <c r="S176" s="3"/>
      <c r="T176" s="3"/>
      <c r="U176" s="11"/>
    </row>
    <row r="177" spans="2:21" x14ac:dyDescent="0.25">
      <c r="B177" s="10"/>
      <c r="C177" s="660" t="s">
        <v>322</v>
      </c>
      <c r="D177" s="661">
        <f>T7</f>
        <v>3.2549999999999999</v>
      </c>
      <c r="E177" s="395" t="s">
        <v>151</v>
      </c>
      <c r="F177" s="552" t="s">
        <v>321</v>
      </c>
      <c r="G177" s="653">
        <f>0.5*(((F6/(F7*F9))^2)+1)</f>
        <v>4.0555555555555554</v>
      </c>
      <c r="H177" s="561" t="s">
        <v>325</v>
      </c>
      <c r="I177" s="604" t="s">
        <v>119</v>
      </c>
      <c r="J177" s="603"/>
      <c r="K177" s="604" t="s">
        <v>319</v>
      </c>
      <c r="L177" s="3"/>
      <c r="M177" s="82"/>
      <c r="N177" s="3"/>
      <c r="O177" s="3"/>
      <c r="P177" s="3"/>
      <c r="Q177" s="3"/>
      <c r="R177" s="3"/>
      <c r="S177" s="3"/>
      <c r="T177" s="3"/>
      <c r="U177" s="11"/>
    </row>
    <row r="178" spans="2:21" x14ac:dyDescent="0.25">
      <c r="B178" s="10"/>
      <c r="C178" s="610" t="s">
        <v>323</v>
      </c>
      <c r="D178" s="536">
        <f>'1.1 Espectro de Diseño'!C26</f>
        <v>0.59999999999999987</v>
      </c>
      <c r="E178" s="122" t="s">
        <v>151</v>
      </c>
      <c r="F178" s="662" t="s">
        <v>321</v>
      </c>
      <c r="G178" s="663">
        <f>(F6/(F7*F9))</f>
        <v>2.6666666666666665</v>
      </c>
      <c r="H178" s="563" t="s">
        <v>324</v>
      </c>
      <c r="I178" s="607" t="s">
        <v>120</v>
      </c>
      <c r="J178" s="496"/>
      <c r="K178" s="664" t="s">
        <v>320</v>
      </c>
      <c r="L178" s="3"/>
      <c r="M178" s="82"/>
      <c r="N178" s="3"/>
      <c r="O178" s="3"/>
      <c r="P178" s="3"/>
      <c r="Q178" s="3"/>
      <c r="R178" s="3"/>
      <c r="S178" s="3"/>
      <c r="T178" s="3"/>
      <c r="U178" s="11"/>
    </row>
    <row r="179" spans="2:21" x14ac:dyDescent="0.25">
      <c r="B179" s="10"/>
      <c r="C179" s="3"/>
      <c r="D179" s="3"/>
      <c r="E179" s="3"/>
      <c r="F179" s="3"/>
      <c r="G179" s="3"/>
      <c r="H179" s="82"/>
      <c r="I179" s="82"/>
      <c r="J179" s="3"/>
      <c r="K179" s="3"/>
      <c r="L179" s="3"/>
      <c r="M179" s="82"/>
      <c r="N179" s="3"/>
      <c r="O179" s="3"/>
      <c r="P179" s="3"/>
      <c r="Q179" s="3"/>
      <c r="R179" s="3"/>
      <c r="S179" s="3"/>
      <c r="T179" s="3"/>
      <c r="U179" s="11"/>
    </row>
    <row r="180" spans="2:21" ht="15.75" x14ac:dyDescent="0.25">
      <c r="B180" s="10"/>
      <c r="C180" s="665" t="s">
        <v>121</v>
      </c>
      <c r="D180" s="3" t="s">
        <v>495</v>
      </c>
      <c r="E180" s="82"/>
      <c r="F180" s="82"/>
      <c r="G180" s="3"/>
      <c r="H180" s="3"/>
      <c r="I180" s="3"/>
      <c r="J180" s="8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11"/>
    </row>
    <row r="181" spans="2:21" x14ac:dyDescent="0.25">
      <c r="B181" s="10"/>
      <c r="C181" s="89" t="s">
        <v>122</v>
      </c>
      <c r="D181" s="3" t="s">
        <v>123</v>
      </c>
      <c r="E181" s="82"/>
      <c r="F181" s="82"/>
      <c r="G181" s="3"/>
      <c r="H181" s="3"/>
      <c r="I181" s="3"/>
      <c r="J181" s="8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11"/>
    </row>
    <row r="182" spans="2:21" ht="15.75" x14ac:dyDescent="0.25">
      <c r="B182" s="10"/>
      <c r="C182" s="665" t="s">
        <v>484</v>
      </c>
      <c r="D182" s="3" t="s">
        <v>485</v>
      </c>
      <c r="E182" s="82"/>
      <c r="F182" s="82"/>
      <c r="G182" s="3"/>
      <c r="H182" s="3"/>
      <c r="I182" s="3"/>
      <c r="J182" s="8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11"/>
    </row>
    <row r="183" spans="2:21" x14ac:dyDescent="0.25">
      <c r="B183" s="10"/>
      <c r="C183" s="89" t="s">
        <v>487</v>
      </c>
      <c r="D183" s="3" t="s">
        <v>489</v>
      </c>
      <c r="E183" s="82"/>
      <c r="F183" s="82"/>
      <c r="G183" s="3"/>
      <c r="H183" s="3"/>
      <c r="I183" s="3"/>
      <c r="J183" s="8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11"/>
    </row>
    <row r="184" spans="2:21" ht="15.75" x14ac:dyDescent="0.25">
      <c r="B184" s="10"/>
      <c r="C184" s="665" t="s">
        <v>486</v>
      </c>
      <c r="D184" s="3" t="s">
        <v>488</v>
      </c>
      <c r="E184" s="82"/>
      <c r="F184" s="82"/>
      <c r="G184" s="3"/>
      <c r="H184" s="3"/>
      <c r="I184" s="3"/>
      <c r="J184" s="8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11"/>
    </row>
    <row r="185" spans="2:21" x14ac:dyDescent="0.25">
      <c r="B185" s="10"/>
      <c r="C185" s="3"/>
      <c r="D185" s="3"/>
      <c r="E185" s="82"/>
      <c r="F185" s="82"/>
      <c r="G185" s="3"/>
      <c r="H185" s="3"/>
      <c r="I185" s="3"/>
      <c r="J185" s="8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11"/>
    </row>
    <row r="186" spans="2:21" x14ac:dyDescent="0.25">
      <c r="B186" s="10"/>
      <c r="C186" s="267" t="s">
        <v>190</v>
      </c>
      <c r="D186" s="267"/>
      <c r="E186" s="267" t="s">
        <v>124</v>
      </c>
      <c r="F186" s="267"/>
      <c r="G186" s="3"/>
      <c r="H186" s="3"/>
      <c r="I186" s="3"/>
      <c r="J186" s="8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11"/>
    </row>
    <row r="187" spans="2:21" ht="15.75" x14ac:dyDescent="0.25">
      <c r="B187" s="10"/>
      <c r="C187" s="666" t="s">
        <v>191</v>
      </c>
      <c r="D187" s="958">
        <v>1.5</v>
      </c>
      <c r="E187" s="666" t="s">
        <v>326</v>
      </c>
      <c r="F187" s="958">
        <v>1</v>
      </c>
      <c r="G187" s="3"/>
      <c r="H187" s="3"/>
      <c r="I187" s="3"/>
      <c r="J187" s="8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11"/>
    </row>
    <row r="188" spans="2:21" x14ac:dyDescent="0.25">
      <c r="B188" s="10"/>
      <c r="C188" s="667" t="s">
        <v>192</v>
      </c>
      <c r="D188" s="959">
        <v>2.5</v>
      </c>
      <c r="E188" s="667" t="s">
        <v>327</v>
      </c>
      <c r="F188" s="959">
        <v>1</v>
      </c>
      <c r="G188" s="3"/>
      <c r="H188" s="3"/>
      <c r="I188" s="3"/>
      <c r="J188" s="8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11"/>
    </row>
    <row r="189" spans="2:21" x14ac:dyDescent="0.25">
      <c r="B189" s="10"/>
      <c r="C189" s="389"/>
      <c r="D189" s="82"/>
      <c r="E189" s="82"/>
      <c r="F189" s="82"/>
      <c r="G189" s="3"/>
      <c r="H189" s="3"/>
      <c r="I189" s="3"/>
      <c r="J189" s="8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11"/>
    </row>
    <row r="190" spans="2:21" ht="15.75" thickBot="1" x14ac:dyDescent="0.3">
      <c r="B190" s="23"/>
      <c r="C190" s="668"/>
      <c r="D190" s="208"/>
      <c r="E190" s="208"/>
      <c r="F190" s="208"/>
      <c r="G190" s="24"/>
      <c r="H190" s="24"/>
      <c r="I190" s="24"/>
      <c r="J190" s="208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5"/>
    </row>
    <row r="191" spans="2:21" x14ac:dyDescent="0.25">
      <c r="B191" s="1"/>
      <c r="C191" s="1"/>
      <c r="D191" s="1"/>
      <c r="E191" s="1"/>
      <c r="F191" s="1"/>
      <c r="G191" s="1"/>
      <c r="H191" s="576"/>
      <c r="I191" s="576"/>
      <c r="J191" s="1"/>
      <c r="K191" s="1"/>
      <c r="L191" s="1"/>
      <c r="M191" s="576"/>
      <c r="N191" s="1"/>
      <c r="O191" s="1"/>
      <c r="P191" s="1"/>
      <c r="Q191" s="1"/>
      <c r="R191" s="1"/>
    </row>
    <row r="192" spans="2:21" ht="15.75" thickBot="1" x14ac:dyDescent="0.3">
      <c r="B192" s="1"/>
      <c r="C192" s="1"/>
      <c r="D192" s="1"/>
      <c r="E192" s="1"/>
      <c r="F192" s="1"/>
      <c r="G192" s="1"/>
      <c r="H192" s="576"/>
      <c r="I192" s="576"/>
      <c r="J192" s="1"/>
      <c r="K192" s="1"/>
      <c r="L192" s="1"/>
      <c r="M192" s="576"/>
      <c r="N192" s="1"/>
      <c r="O192" s="1"/>
      <c r="P192" s="1"/>
      <c r="Q192" s="1"/>
      <c r="R192" s="1"/>
    </row>
    <row r="193" spans="2:21" ht="15" customHeight="1" x14ac:dyDescent="0.25">
      <c r="B193" s="480" t="s">
        <v>494</v>
      </c>
      <c r="C193" s="481"/>
      <c r="D193" s="481"/>
      <c r="E193" s="481"/>
      <c r="F193" s="481"/>
      <c r="G193" s="481"/>
      <c r="H193" s="481"/>
      <c r="I193" s="481"/>
      <c r="J193" s="481"/>
      <c r="K193" s="481"/>
      <c r="L193" s="481"/>
      <c r="M193" s="481"/>
      <c r="N193" s="481"/>
      <c r="O193" s="481"/>
      <c r="P193" s="481"/>
      <c r="Q193" s="481"/>
      <c r="R193" s="481"/>
      <c r="S193" s="481"/>
      <c r="T193" s="481"/>
      <c r="U193" s="482"/>
    </row>
    <row r="194" spans="2:21" ht="15.75" customHeight="1" thickBot="1" x14ac:dyDescent="0.3">
      <c r="B194" s="483"/>
      <c r="C194" s="484"/>
      <c r="D194" s="484"/>
      <c r="E194" s="484"/>
      <c r="F194" s="484"/>
      <c r="G194" s="484"/>
      <c r="H194" s="484"/>
      <c r="I194" s="484"/>
      <c r="J194" s="484"/>
      <c r="K194" s="484"/>
      <c r="L194" s="484"/>
      <c r="M194" s="484"/>
      <c r="N194" s="484"/>
      <c r="O194" s="484"/>
      <c r="P194" s="484"/>
      <c r="Q194" s="484"/>
      <c r="R194" s="484"/>
      <c r="S194" s="484"/>
      <c r="T194" s="484"/>
      <c r="U194" s="485"/>
    </row>
    <row r="195" spans="2:21" x14ac:dyDescent="0.25">
      <c r="B195" s="7"/>
      <c r="C195" s="8"/>
      <c r="D195" s="8"/>
      <c r="E195" s="8"/>
      <c r="F195" s="8"/>
      <c r="G195" s="8"/>
      <c r="H195" s="220"/>
      <c r="I195" s="220"/>
      <c r="J195" s="8"/>
      <c r="K195" s="8"/>
      <c r="L195" s="8"/>
      <c r="M195" s="220"/>
      <c r="N195" s="8"/>
      <c r="O195" s="8"/>
      <c r="P195" s="8"/>
      <c r="Q195" s="8"/>
      <c r="R195" s="8"/>
      <c r="S195" s="8"/>
      <c r="T195" s="8"/>
      <c r="U195" s="9"/>
    </row>
    <row r="196" spans="2:21" x14ac:dyDescent="0.25">
      <c r="B196" s="10"/>
      <c r="C196" s="3"/>
      <c r="D196" s="3"/>
      <c r="E196" s="3"/>
      <c r="F196" s="3"/>
      <c r="G196" s="3"/>
      <c r="H196" s="82"/>
      <c r="I196" s="82"/>
      <c r="J196" s="3"/>
      <c r="K196" s="3"/>
      <c r="L196" s="3"/>
      <c r="M196" s="82"/>
      <c r="N196" s="3"/>
      <c r="O196" s="3"/>
      <c r="P196" s="3"/>
      <c r="Q196" s="3"/>
      <c r="R196" s="3"/>
      <c r="S196" s="3"/>
      <c r="T196" s="3"/>
      <c r="U196" s="11"/>
    </row>
    <row r="197" spans="2:21" x14ac:dyDescent="0.25">
      <c r="B197" s="10"/>
      <c r="C197" s="250" t="s">
        <v>493</v>
      </c>
      <c r="D197" s="250"/>
      <c r="E197" s="250"/>
      <c r="F197" s="250"/>
      <c r="G197" s="250"/>
      <c r="H197" s="250"/>
      <c r="I197" s="3"/>
      <c r="J197" s="3"/>
      <c r="K197" s="3"/>
      <c r="L197" s="82"/>
      <c r="M197" s="3"/>
      <c r="N197" s="3"/>
      <c r="O197" s="3"/>
      <c r="P197" s="3"/>
      <c r="Q197" s="3"/>
      <c r="R197" s="3"/>
      <c r="S197" s="3"/>
      <c r="T197" s="3"/>
      <c r="U197" s="11"/>
    </row>
    <row r="198" spans="2:21" x14ac:dyDescent="0.25">
      <c r="B198" s="10"/>
      <c r="C198" s="137"/>
      <c r="D198" s="126" t="s">
        <v>12</v>
      </c>
      <c r="E198" s="126" t="s">
        <v>13</v>
      </c>
      <c r="F198" s="137"/>
      <c r="G198" s="613"/>
      <c r="H198" s="613"/>
      <c r="I198" s="3"/>
      <c r="J198" s="3"/>
      <c r="K198" s="3"/>
      <c r="L198" s="82" t="s">
        <v>105</v>
      </c>
      <c r="M198" s="3"/>
      <c r="N198" s="3"/>
      <c r="O198" s="3"/>
      <c r="P198" s="3"/>
      <c r="Q198" s="3"/>
      <c r="R198" s="3"/>
      <c r="S198" s="3"/>
      <c r="T198" s="3"/>
      <c r="U198" s="11"/>
    </row>
    <row r="199" spans="2:21" x14ac:dyDescent="0.25">
      <c r="B199" s="10"/>
      <c r="C199" s="552" t="s">
        <v>332</v>
      </c>
      <c r="D199" s="230">
        <f>T7</f>
        <v>3.2549999999999999</v>
      </c>
      <c r="E199" s="230">
        <f>T8</f>
        <v>2.2320000000000002</v>
      </c>
      <c r="F199" s="136"/>
      <c r="G199" s="155"/>
      <c r="H199" s="155"/>
      <c r="I199" s="3"/>
      <c r="J199" s="3"/>
      <c r="K199" s="3"/>
      <c r="L199" s="82"/>
      <c r="M199" s="3"/>
      <c r="N199" s="3"/>
      <c r="O199" s="3"/>
      <c r="P199" s="3"/>
      <c r="Q199" s="3"/>
      <c r="R199" s="3"/>
      <c r="S199" s="3"/>
      <c r="T199" s="3"/>
      <c r="U199" s="11"/>
    </row>
    <row r="200" spans="2:21" x14ac:dyDescent="0.25">
      <c r="B200" s="10"/>
      <c r="C200" s="669" t="s">
        <v>330</v>
      </c>
      <c r="D200" s="670">
        <f>D199*SQRT(D187)</f>
        <v>3.9865445563796218</v>
      </c>
      <c r="E200" s="670">
        <f>E199*SQRT(D187)</f>
        <v>2.733630552946027</v>
      </c>
      <c r="F200" s="192" t="s">
        <v>155</v>
      </c>
      <c r="G200" s="604"/>
      <c r="H200" s="671" t="s">
        <v>328</v>
      </c>
      <c r="I200" s="3"/>
      <c r="J200" s="3"/>
      <c r="K200" s="3"/>
      <c r="L200" s="82"/>
      <c r="M200" s="3"/>
      <c r="N200" s="3"/>
      <c r="O200" s="3"/>
      <c r="P200" s="3"/>
      <c r="Q200" s="3"/>
      <c r="R200" s="3"/>
      <c r="S200" s="3"/>
      <c r="T200" s="3"/>
      <c r="U200" s="11"/>
    </row>
    <row r="201" spans="2:21" x14ac:dyDescent="0.25">
      <c r="B201" s="10"/>
      <c r="C201" s="672" t="s">
        <v>331</v>
      </c>
      <c r="D201" s="673">
        <f>D199*SQRT(D188)</f>
        <v>5.1466068919240371</v>
      </c>
      <c r="E201" s="673">
        <f>E199*SQRT(D188)</f>
        <v>3.5291018687479117</v>
      </c>
      <c r="F201" s="674" t="s">
        <v>156</v>
      </c>
      <c r="G201" s="607"/>
      <c r="H201" s="664" t="s">
        <v>329</v>
      </c>
      <c r="I201" s="3"/>
      <c r="J201" s="3"/>
      <c r="K201" s="3"/>
      <c r="L201" s="82"/>
      <c r="M201" s="3"/>
      <c r="N201" s="3"/>
      <c r="O201" s="3"/>
      <c r="P201" s="3"/>
      <c r="Q201" s="3"/>
      <c r="R201" s="3"/>
      <c r="S201" s="3"/>
      <c r="T201" s="3"/>
      <c r="U201" s="11"/>
    </row>
    <row r="202" spans="2:21" x14ac:dyDescent="0.25">
      <c r="B202" s="10"/>
      <c r="C202" s="3"/>
      <c r="D202" s="675"/>
      <c r="E202" s="649"/>
      <c r="F202" s="649"/>
      <c r="G202" s="192"/>
      <c r="H202" s="604"/>
      <c r="I202" s="671"/>
      <c r="J202" s="3"/>
      <c r="K202" s="3"/>
      <c r="L202" s="3"/>
      <c r="M202" s="82"/>
      <c r="N202" s="3"/>
      <c r="O202" s="3"/>
      <c r="P202" s="3"/>
      <c r="Q202" s="3"/>
      <c r="R202" s="3"/>
      <c r="S202" s="3"/>
      <c r="T202" s="3"/>
      <c r="U202" s="11"/>
    </row>
    <row r="203" spans="2:21" ht="15.75" thickBot="1" x14ac:dyDescent="0.3">
      <c r="B203" s="23"/>
      <c r="C203" s="24"/>
      <c r="D203" s="676"/>
      <c r="E203" s="677"/>
      <c r="F203" s="677"/>
      <c r="G203" s="678"/>
      <c r="H203" s="679"/>
      <c r="I203" s="680"/>
      <c r="J203" s="24"/>
      <c r="K203" s="24"/>
      <c r="L203" s="24"/>
      <c r="M203" s="208"/>
      <c r="N203" s="24"/>
      <c r="O203" s="24"/>
      <c r="P203" s="24"/>
      <c r="Q203" s="24"/>
      <c r="R203" s="24"/>
      <c r="S203" s="24"/>
      <c r="T203" s="24"/>
      <c r="U203" s="25"/>
    </row>
    <row r="204" spans="2:21" x14ac:dyDescent="0.25">
      <c r="B204" s="1"/>
      <c r="C204" s="1"/>
      <c r="D204" s="675"/>
      <c r="E204" s="649"/>
      <c r="F204" s="649"/>
      <c r="G204" s="192"/>
      <c r="H204" s="604"/>
      <c r="I204" s="671"/>
      <c r="J204" s="1"/>
      <c r="K204" s="1"/>
      <c r="L204" s="1"/>
      <c r="M204" s="576"/>
      <c r="N204" s="1"/>
      <c r="O204" s="1"/>
      <c r="P204" s="1"/>
      <c r="Q204" s="1"/>
      <c r="R204" s="1"/>
    </row>
    <row r="205" spans="2:21" ht="15.75" thickBot="1" x14ac:dyDescent="0.3">
      <c r="B205" s="1"/>
      <c r="C205" s="1"/>
      <c r="D205" s="1"/>
      <c r="E205" s="1"/>
      <c r="F205" s="1"/>
      <c r="G205" s="1"/>
      <c r="H205" s="576"/>
      <c r="I205" s="576"/>
      <c r="J205" s="1"/>
      <c r="K205" s="1"/>
      <c r="L205" s="1"/>
      <c r="M205" s="576"/>
      <c r="N205" s="1"/>
      <c r="O205" s="1"/>
      <c r="P205" s="1"/>
      <c r="Q205" s="1"/>
      <c r="R205" s="1"/>
    </row>
    <row r="206" spans="2:21" ht="15" customHeight="1" x14ac:dyDescent="0.25">
      <c r="B206" s="480" t="s">
        <v>490</v>
      </c>
      <c r="C206" s="481"/>
      <c r="D206" s="481"/>
      <c r="E206" s="481"/>
      <c r="F206" s="481"/>
      <c r="G206" s="481"/>
      <c r="H206" s="481"/>
      <c r="I206" s="481"/>
      <c r="J206" s="481"/>
      <c r="K206" s="481"/>
      <c r="L206" s="481"/>
      <c r="M206" s="481"/>
      <c r="N206" s="481"/>
      <c r="O206" s="481"/>
      <c r="P206" s="481"/>
      <c r="Q206" s="481"/>
      <c r="R206" s="481"/>
      <c r="S206" s="481"/>
      <c r="T206" s="481"/>
      <c r="U206" s="482"/>
    </row>
    <row r="207" spans="2:21" ht="15.75" customHeight="1" thickBot="1" x14ac:dyDescent="0.3">
      <c r="B207" s="483"/>
      <c r="C207" s="484"/>
      <c r="D207" s="484"/>
      <c r="E207" s="484"/>
      <c r="F207" s="484"/>
      <c r="G207" s="484"/>
      <c r="H207" s="484"/>
      <c r="I207" s="484"/>
      <c r="J207" s="484"/>
      <c r="K207" s="484"/>
      <c r="L207" s="484"/>
      <c r="M207" s="484"/>
      <c r="N207" s="484"/>
      <c r="O207" s="484"/>
      <c r="P207" s="484"/>
      <c r="Q207" s="484"/>
      <c r="R207" s="484"/>
      <c r="S207" s="484"/>
      <c r="T207" s="484"/>
      <c r="U207" s="485"/>
    </row>
    <row r="208" spans="2:21" x14ac:dyDescent="0.25">
      <c r="B208" s="7"/>
      <c r="C208" s="8"/>
      <c r="D208" s="8"/>
      <c r="E208" s="8"/>
      <c r="F208" s="8"/>
      <c r="G208" s="8"/>
      <c r="H208" s="220"/>
      <c r="I208" s="220"/>
      <c r="J208" s="8"/>
      <c r="K208" s="8"/>
      <c r="L208" s="8"/>
      <c r="M208" s="220"/>
      <c r="N208" s="8"/>
      <c r="O208" s="8"/>
      <c r="P208" s="8"/>
      <c r="Q208" s="8"/>
      <c r="R208" s="8"/>
      <c r="S208" s="8"/>
      <c r="T208" s="8"/>
      <c r="U208" s="9"/>
    </row>
    <row r="209" spans="2:21" x14ac:dyDescent="0.25">
      <c r="B209" s="10"/>
      <c r="C209" s="3"/>
      <c r="D209" s="3"/>
      <c r="E209" s="3"/>
      <c r="F209" s="3"/>
      <c r="G209" s="3"/>
      <c r="H209" s="82"/>
      <c r="I209" s="82"/>
      <c r="J209" s="3"/>
      <c r="K209" s="3"/>
      <c r="L209" s="3"/>
      <c r="M209" s="82"/>
      <c r="N209" s="3"/>
      <c r="O209" s="3"/>
      <c r="P209" s="3"/>
      <c r="Q209" s="3"/>
      <c r="R209" s="3"/>
      <c r="S209" s="3"/>
      <c r="T209" s="3"/>
      <c r="U209" s="11"/>
    </row>
    <row r="210" spans="2:21" x14ac:dyDescent="0.25">
      <c r="B210" s="10"/>
      <c r="C210" s="250" t="s">
        <v>387</v>
      </c>
      <c r="D210" s="250"/>
      <c r="E210" s="250"/>
      <c r="F210" s="250"/>
      <c r="G210" s="250"/>
      <c r="H210" s="250"/>
      <c r="I210" s="250"/>
      <c r="J210" s="250"/>
      <c r="K210" s="3"/>
      <c r="L210" s="82"/>
      <c r="M210" s="3"/>
      <c r="N210" s="3"/>
      <c r="O210" s="3"/>
      <c r="P210" s="3"/>
      <c r="Q210" s="3"/>
      <c r="R210" s="3"/>
      <c r="S210" s="3"/>
      <c r="T210" s="3"/>
      <c r="U210" s="11"/>
    </row>
    <row r="211" spans="2:21" x14ac:dyDescent="0.25">
      <c r="B211" s="10"/>
      <c r="C211" s="252"/>
      <c r="D211" s="252"/>
      <c r="E211" s="223"/>
      <c r="F211" s="223" t="s">
        <v>12</v>
      </c>
      <c r="G211" s="681" t="s">
        <v>13</v>
      </c>
      <c r="H211" s="213"/>
      <c r="I211" s="137"/>
      <c r="J211" s="137"/>
      <c r="K211" s="3"/>
      <c r="L211" s="82"/>
      <c r="M211" s="3"/>
      <c r="N211" s="3"/>
      <c r="O211" s="3"/>
      <c r="P211" s="3"/>
      <c r="Q211" s="3"/>
      <c r="R211" s="3"/>
      <c r="S211" s="3"/>
      <c r="T211" s="3"/>
      <c r="U211" s="11"/>
    </row>
    <row r="212" spans="2:21" x14ac:dyDescent="0.25">
      <c r="B212" s="10"/>
      <c r="C212" s="682" t="s">
        <v>125</v>
      </c>
      <c r="D212" s="682"/>
      <c r="E212" s="683" t="s">
        <v>343</v>
      </c>
      <c r="F212" s="684">
        <v>0.05</v>
      </c>
      <c r="G212" s="685">
        <v>0.05</v>
      </c>
      <c r="H212" s="686" t="s">
        <v>368</v>
      </c>
      <c r="I212" s="687"/>
      <c r="J212" s="687"/>
      <c r="K212" s="3"/>
      <c r="L212" s="82"/>
      <c r="M212" s="3"/>
      <c r="N212" s="3"/>
      <c r="O212" s="3"/>
      <c r="P212" s="3"/>
      <c r="Q212" s="3"/>
      <c r="R212" s="3"/>
      <c r="S212" s="3"/>
      <c r="T212" s="3"/>
      <c r="U212" s="11"/>
    </row>
    <row r="213" spans="2:21" ht="15.75" customHeight="1" x14ac:dyDescent="0.25">
      <c r="B213" s="10"/>
      <c r="C213" s="688" t="s">
        <v>126</v>
      </c>
      <c r="D213" s="688"/>
      <c r="E213" s="689" t="s">
        <v>338</v>
      </c>
      <c r="F213" s="690">
        <f>P75</f>
        <v>0.2884544618828388</v>
      </c>
      <c r="G213" s="691">
        <f>P87</f>
        <v>0.21816342956618134</v>
      </c>
      <c r="H213" s="186" t="s">
        <v>367</v>
      </c>
      <c r="I213" s="603"/>
      <c r="J213" s="603" t="s">
        <v>281</v>
      </c>
      <c r="K213" s="3"/>
      <c r="L213" s="82"/>
      <c r="M213" s="3"/>
      <c r="N213" s="3"/>
      <c r="O213" s="3"/>
      <c r="P213" s="3"/>
      <c r="Q213" s="3"/>
      <c r="R213" s="3"/>
      <c r="S213" s="3"/>
      <c r="T213" s="3"/>
      <c r="U213" s="11"/>
    </row>
    <row r="214" spans="2:21" x14ac:dyDescent="0.25">
      <c r="B214" s="10"/>
      <c r="C214" s="692"/>
      <c r="D214" s="692"/>
      <c r="E214" s="693" t="s">
        <v>339</v>
      </c>
      <c r="F214" s="694">
        <f>P133</f>
        <v>1.3719706913278502</v>
      </c>
      <c r="G214" s="695">
        <f>P144</f>
        <v>1.1145328699291945</v>
      </c>
      <c r="H214" s="696" t="s">
        <v>367</v>
      </c>
      <c r="I214" s="697"/>
      <c r="J214" s="697" t="s">
        <v>281</v>
      </c>
      <c r="K214" s="3"/>
      <c r="L214" s="82"/>
      <c r="M214" s="3"/>
      <c r="N214" s="3"/>
      <c r="O214" s="3"/>
      <c r="P214" s="3"/>
      <c r="Q214" s="3"/>
      <c r="R214" s="3"/>
      <c r="S214" s="3"/>
      <c r="T214" s="3"/>
      <c r="U214" s="11"/>
    </row>
    <row r="215" spans="2:21" x14ac:dyDescent="0.25">
      <c r="B215" s="10"/>
      <c r="C215" s="688" t="s">
        <v>386</v>
      </c>
      <c r="D215" s="688"/>
      <c r="E215" s="689" t="s">
        <v>340</v>
      </c>
      <c r="F215" s="230">
        <f>IF(0.67*(P14/D199)&lt;0.5,0.5,IF(0.67*(P14/D199)&gt;1,1,0.67*(P14/D199)))</f>
        <v>0.5</v>
      </c>
      <c r="G215" s="155">
        <f>IF(0.67*(P14/E199)&lt;0.5,0.5,IF(0.67*(P14/E199)&gt;1,1,0.67*(P14/E199)))</f>
        <v>0.5</v>
      </c>
      <c r="H215" s="186" t="s">
        <v>369</v>
      </c>
      <c r="I215" s="603"/>
      <c r="J215" s="603"/>
      <c r="K215" s="3"/>
      <c r="L215" s="82"/>
      <c r="M215" s="3"/>
      <c r="N215" s="3"/>
      <c r="O215" s="3"/>
      <c r="P215" s="3"/>
      <c r="Q215" s="3"/>
      <c r="R215" s="3"/>
      <c r="S215" s="3"/>
      <c r="T215" s="3"/>
      <c r="U215" s="11"/>
    </row>
    <row r="216" spans="2:21" x14ac:dyDescent="0.25">
      <c r="B216" s="10"/>
      <c r="C216" s="688"/>
      <c r="D216" s="688"/>
      <c r="E216" s="689" t="s">
        <v>341</v>
      </c>
      <c r="F216" s="690">
        <f>F215*(0.64-F212)*(1-(1/D187))</f>
        <v>9.8333333333333342E-2</v>
      </c>
      <c r="G216" s="691">
        <f>G215*(0.64-G212)*(1-(1/D187))</f>
        <v>9.8333333333333342E-2</v>
      </c>
      <c r="H216" s="186" t="s">
        <v>370</v>
      </c>
      <c r="I216" s="603"/>
      <c r="J216" s="603" t="s">
        <v>334</v>
      </c>
      <c r="K216" s="3"/>
      <c r="L216" s="82"/>
      <c r="M216" s="3"/>
      <c r="N216" s="3"/>
      <c r="O216" s="3"/>
      <c r="P216" s="3"/>
      <c r="Q216" s="3"/>
      <c r="R216" s="3"/>
      <c r="S216" s="3"/>
      <c r="T216" s="3"/>
      <c r="U216" s="11"/>
    </row>
    <row r="217" spans="2:21" x14ac:dyDescent="0.25">
      <c r="B217" s="10"/>
      <c r="C217" s="692"/>
      <c r="D217" s="692"/>
      <c r="E217" s="693" t="s">
        <v>342</v>
      </c>
      <c r="F217" s="694">
        <f>F215*(0.64-F212)*(1-(1/D188))</f>
        <v>0.17699999999999999</v>
      </c>
      <c r="G217" s="695">
        <f>G215*(0.64-G212)*(1-(1/D188))</f>
        <v>0.17699999999999999</v>
      </c>
      <c r="H217" s="696" t="s">
        <v>371</v>
      </c>
      <c r="I217" s="697"/>
      <c r="J217" s="697" t="s">
        <v>335</v>
      </c>
      <c r="K217" s="3"/>
      <c r="L217" s="82"/>
      <c r="M217" s="3"/>
      <c r="N217" s="3"/>
      <c r="O217" s="3"/>
      <c r="P217" s="3"/>
      <c r="Q217" s="3"/>
      <c r="R217" s="3"/>
      <c r="S217" s="3"/>
      <c r="T217" s="3"/>
      <c r="U217" s="11"/>
    </row>
    <row r="218" spans="2:21" ht="15" customHeight="1" x14ac:dyDescent="0.25">
      <c r="B218" s="10"/>
      <c r="C218" s="698" t="s">
        <v>333</v>
      </c>
      <c r="D218" s="698"/>
      <c r="E218" s="699" t="s">
        <v>351</v>
      </c>
      <c r="F218" s="700">
        <f>F212+F213*SQRT(D187)+F216</f>
        <v>0.50161645615436079</v>
      </c>
      <c r="G218" s="701">
        <f>G212+G213*SQRT(D187)+G216</f>
        <v>0.41552787481971404</v>
      </c>
      <c r="H218" s="186" t="s">
        <v>372</v>
      </c>
      <c r="I218" s="603"/>
      <c r="J218" s="603" t="s">
        <v>336</v>
      </c>
      <c r="K218" s="3"/>
      <c r="L218" s="82"/>
      <c r="M218" s="3"/>
      <c r="N218" s="3"/>
      <c r="O218" s="3"/>
      <c r="P218" s="3"/>
      <c r="Q218" s="3"/>
      <c r="R218" s="3"/>
      <c r="S218" s="3"/>
      <c r="T218" s="3"/>
      <c r="U218" s="11"/>
    </row>
    <row r="219" spans="2:21" x14ac:dyDescent="0.25">
      <c r="B219" s="10"/>
      <c r="C219" s="702"/>
      <c r="D219" s="702"/>
      <c r="E219" s="703" t="s">
        <v>352</v>
      </c>
      <c r="F219" s="704">
        <f>F212+F213*SQRT(D188)+F217</f>
        <v>0.68308655039399624</v>
      </c>
      <c r="G219" s="705">
        <f>G212+G213*SQRT(D188)+G217</f>
        <v>0.5719466697914265</v>
      </c>
      <c r="H219" s="187" t="s">
        <v>373</v>
      </c>
      <c r="I219" s="496"/>
      <c r="J219" s="496" t="s">
        <v>337</v>
      </c>
      <c r="K219" s="3"/>
      <c r="L219" s="82"/>
      <c r="M219" s="3"/>
      <c r="N219" s="3"/>
      <c r="O219" s="3"/>
      <c r="P219" s="3"/>
      <c r="Q219" s="3"/>
      <c r="R219" s="3"/>
      <c r="S219" s="3"/>
      <c r="T219" s="3"/>
      <c r="U219" s="11"/>
    </row>
    <row r="220" spans="2:21" x14ac:dyDescent="0.25">
      <c r="B220" s="10"/>
      <c r="C220" s="706"/>
      <c r="D220" s="706"/>
      <c r="E220" s="707"/>
      <c r="F220" s="708"/>
      <c r="G220" s="709"/>
      <c r="H220" s="710"/>
      <c r="I220" s="3"/>
      <c r="J220" s="3"/>
      <c r="K220" s="3"/>
      <c r="L220" s="82"/>
      <c r="M220" s="3"/>
      <c r="N220" s="3"/>
      <c r="O220" s="3"/>
      <c r="P220" s="3"/>
      <c r="Q220" s="3"/>
      <c r="R220" s="3"/>
      <c r="S220" s="3"/>
      <c r="T220" s="3"/>
      <c r="U220" s="11"/>
    </row>
    <row r="221" spans="2:21" x14ac:dyDescent="0.25">
      <c r="B221" s="10"/>
      <c r="C221" s="706"/>
      <c r="D221" s="706"/>
      <c r="E221" s="706"/>
      <c r="F221" s="706"/>
      <c r="G221" s="706"/>
      <c r="H221" s="706"/>
      <c r="I221" s="706"/>
      <c r="J221" s="706"/>
      <c r="K221" s="706"/>
      <c r="L221" s="82"/>
      <c r="M221" s="3"/>
      <c r="N221" s="3"/>
      <c r="O221" s="3"/>
      <c r="P221" s="3"/>
      <c r="Q221" s="3"/>
      <c r="R221" s="3"/>
      <c r="S221" s="3"/>
      <c r="T221" s="3"/>
      <c r="U221" s="11"/>
    </row>
    <row r="222" spans="2:21" ht="15" customHeight="1" x14ac:dyDescent="0.25">
      <c r="B222" s="10"/>
      <c r="C222" s="711" t="s">
        <v>491</v>
      </c>
      <c r="D222" s="711"/>
      <c r="E222" s="216"/>
      <c r="F222" s="216" t="s">
        <v>12</v>
      </c>
      <c r="G222" s="712" t="s">
        <v>13</v>
      </c>
      <c r="H222" s="713"/>
      <c r="I222" s="714"/>
      <c r="J222" s="713"/>
      <c r="K222" s="706"/>
      <c r="L222" s="82"/>
      <c r="M222" s="3"/>
      <c r="N222" s="3"/>
      <c r="O222" s="3"/>
      <c r="P222" s="3"/>
      <c r="Q222" s="3"/>
      <c r="R222" s="3"/>
      <c r="S222" s="3"/>
      <c r="T222" s="3"/>
      <c r="U222" s="11"/>
    </row>
    <row r="223" spans="2:21" x14ac:dyDescent="0.25">
      <c r="B223" s="10"/>
      <c r="C223" s="702"/>
      <c r="D223" s="702"/>
      <c r="E223" s="715" t="s">
        <v>344</v>
      </c>
      <c r="F223" s="716">
        <f>F212+F214*SQRT(F187)+F216</f>
        <v>1.5203040246611836</v>
      </c>
      <c r="G223" s="717">
        <f>G212+G214*SQRT(F187)+G216</f>
        <v>1.262866203262528</v>
      </c>
      <c r="H223" s="718" t="s">
        <v>157</v>
      </c>
      <c r="I223" s="719"/>
      <c r="J223" s="720" t="s">
        <v>345</v>
      </c>
      <c r="K223" s="706"/>
      <c r="L223" s="82"/>
      <c r="M223" s="3"/>
      <c r="N223" s="3"/>
      <c r="O223" s="3"/>
      <c r="P223" s="3"/>
      <c r="Q223" s="3"/>
      <c r="R223" s="3"/>
      <c r="S223" s="3"/>
      <c r="T223" s="3"/>
      <c r="U223" s="11"/>
    </row>
    <row r="224" spans="2:21" x14ac:dyDescent="0.25">
      <c r="B224" s="10"/>
      <c r="C224" s="706"/>
      <c r="D224" s="706"/>
      <c r="E224" s="721"/>
      <c r="F224" s="721"/>
      <c r="G224" s="722"/>
      <c r="H224" s="723"/>
      <c r="I224" s="724"/>
      <c r="J224" s="725"/>
      <c r="K224" s="706"/>
      <c r="L224" s="82"/>
      <c r="M224" s="3"/>
      <c r="N224" s="3"/>
      <c r="O224" s="3"/>
      <c r="P224" s="3"/>
      <c r="Q224" s="3"/>
      <c r="R224" s="3"/>
      <c r="S224" s="3"/>
      <c r="T224" s="3"/>
      <c r="U224" s="11"/>
    </row>
    <row r="225" spans="2:21" x14ac:dyDescent="0.25">
      <c r="B225" s="10"/>
      <c r="C225" s="706"/>
      <c r="D225" s="706"/>
      <c r="E225" s="721"/>
      <c r="F225" s="721"/>
      <c r="G225" s="722"/>
      <c r="H225" s="723"/>
      <c r="I225" s="724"/>
      <c r="J225" s="720"/>
      <c r="K225" s="706"/>
      <c r="L225" s="82"/>
      <c r="M225" s="3"/>
      <c r="N225" s="3"/>
      <c r="O225" s="3"/>
      <c r="P225" s="3"/>
      <c r="Q225" s="3"/>
      <c r="R225" s="3"/>
      <c r="S225" s="3"/>
      <c r="T225" s="3"/>
      <c r="U225" s="11"/>
    </row>
    <row r="226" spans="2:21" ht="15" customHeight="1" x14ac:dyDescent="0.25">
      <c r="B226" s="10"/>
      <c r="C226" s="711" t="s">
        <v>492</v>
      </c>
      <c r="D226" s="711"/>
      <c r="E226" s="216"/>
      <c r="F226" s="216" t="s">
        <v>12</v>
      </c>
      <c r="G226" s="712" t="s">
        <v>13</v>
      </c>
      <c r="H226" s="718"/>
      <c r="I226" s="719"/>
      <c r="J226" s="718"/>
      <c r="K226" s="706"/>
      <c r="L226" s="82"/>
      <c r="M226" s="3"/>
      <c r="N226" s="3"/>
      <c r="O226" s="3"/>
      <c r="P226" s="3"/>
      <c r="Q226" s="3"/>
      <c r="R226" s="3"/>
      <c r="S226" s="3"/>
      <c r="T226" s="3"/>
      <c r="U226" s="11"/>
    </row>
    <row r="227" spans="2:21" x14ac:dyDescent="0.25">
      <c r="B227" s="10"/>
      <c r="C227" s="702"/>
      <c r="D227" s="702"/>
      <c r="E227" s="703" t="s">
        <v>353</v>
      </c>
      <c r="F227" s="704">
        <f>F212+F213*SQRT(F188)</f>
        <v>0.33845446188283879</v>
      </c>
      <c r="G227" s="705">
        <f>G212+G213*SQRT(F188)</f>
        <v>0.26816342956618133</v>
      </c>
      <c r="H227" s="187" t="s">
        <v>158</v>
      </c>
      <c r="I227" s="496"/>
      <c r="J227" s="720" t="s">
        <v>346</v>
      </c>
      <c r="K227" s="3"/>
      <c r="L227" s="82"/>
      <c r="M227" s="3"/>
      <c r="N227" s="3"/>
      <c r="O227" s="3"/>
      <c r="P227" s="3"/>
      <c r="Q227" s="3"/>
      <c r="R227" s="3"/>
      <c r="S227" s="3"/>
      <c r="T227" s="3"/>
      <c r="U227" s="11"/>
    </row>
    <row r="228" spans="2:21" x14ac:dyDescent="0.25">
      <c r="B228" s="10"/>
      <c r="C228" s="726"/>
      <c r="D228" s="726"/>
      <c r="E228" s="699"/>
      <c r="F228" s="700"/>
      <c r="G228" s="701"/>
      <c r="H228" s="186"/>
      <c r="I228" s="603"/>
      <c r="J228" s="725"/>
      <c r="K228" s="3"/>
      <c r="L228" s="82"/>
      <c r="M228" s="3"/>
      <c r="N228" s="3"/>
      <c r="O228" s="3"/>
      <c r="P228" s="3"/>
      <c r="Q228" s="3"/>
      <c r="R228" s="3"/>
      <c r="S228" s="3"/>
      <c r="T228" s="3"/>
      <c r="U228" s="11"/>
    </row>
    <row r="229" spans="2:21" ht="15.75" thickBot="1" x14ac:dyDescent="0.3">
      <c r="B229" s="23"/>
      <c r="C229" s="24"/>
      <c r="D229" s="24"/>
      <c r="E229" s="727"/>
      <c r="F229" s="728"/>
      <c r="G229" s="729"/>
      <c r="H229" s="730"/>
      <c r="I229" s="731"/>
      <c r="J229" s="732"/>
      <c r="K229" s="24"/>
      <c r="L229" s="208"/>
      <c r="M229" s="24"/>
      <c r="N229" s="24"/>
      <c r="O229" s="24"/>
      <c r="P229" s="24"/>
      <c r="Q229" s="24"/>
      <c r="R229" s="24"/>
      <c r="S229" s="24"/>
      <c r="T229" s="24"/>
      <c r="U229" s="25"/>
    </row>
    <row r="230" spans="2:21" x14ac:dyDescent="0.25">
      <c r="B230" s="10"/>
      <c r="C230" s="3"/>
      <c r="D230" s="3"/>
      <c r="E230" s="699"/>
      <c r="F230" s="700"/>
      <c r="G230" s="701"/>
      <c r="H230" s="186"/>
      <c r="I230" s="603"/>
      <c r="J230" s="725"/>
      <c r="K230" s="3"/>
      <c r="L230" s="82"/>
      <c r="M230" s="3"/>
      <c r="N230" s="3"/>
      <c r="O230" s="3"/>
      <c r="P230" s="3"/>
      <c r="Q230" s="3"/>
      <c r="R230" s="3"/>
      <c r="S230" s="3"/>
      <c r="T230" s="3"/>
      <c r="U230" s="11"/>
    </row>
    <row r="231" spans="2:21" ht="15" customHeight="1" x14ac:dyDescent="0.25">
      <c r="B231" s="10"/>
      <c r="C231" s="733" t="s">
        <v>496</v>
      </c>
      <c r="D231" s="733"/>
      <c r="E231" s="733"/>
      <c r="F231" s="733"/>
      <c r="G231" s="733"/>
      <c r="H231" s="733"/>
      <c r="I231" s="733"/>
      <c r="J231" s="733"/>
      <c r="K231" s="733"/>
      <c r="L231" s="733"/>
      <c r="M231" s="733"/>
      <c r="N231" s="733"/>
      <c r="O231" s="3"/>
      <c r="P231" s="3"/>
      <c r="Q231" s="3"/>
      <c r="R231" s="3"/>
      <c r="S231" s="3"/>
      <c r="T231" s="3"/>
      <c r="U231" s="11"/>
    </row>
    <row r="232" spans="2:21" ht="15" customHeight="1" x14ac:dyDescent="0.25">
      <c r="B232" s="10"/>
      <c r="C232" s="733"/>
      <c r="D232" s="733"/>
      <c r="E232" s="733"/>
      <c r="F232" s="733"/>
      <c r="G232" s="733"/>
      <c r="H232" s="733"/>
      <c r="I232" s="733"/>
      <c r="J232" s="733"/>
      <c r="K232" s="733"/>
      <c r="L232" s="733"/>
      <c r="M232" s="733"/>
      <c r="N232" s="733"/>
      <c r="O232" s="3"/>
      <c r="P232" s="3"/>
      <c r="Q232" s="3"/>
      <c r="R232" s="3"/>
      <c r="S232" s="3"/>
      <c r="T232" s="3"/>
      <c r="U232" s="11"/>
    </row>
    <row r="233" spans="2:21" x14ac:dyDescent="0.25">
      <c r="B233" s="10"/>
      <c r="C233" s="3"/>
      <c r="D233" s="3"/>
      <c r="E233" s="3"/>
      <c r="F233" s="3"/>
      <c r="G233" s="3"/>
      <c r="H233" s="82"/>
      <c r="I233" s="82"/>
      <c r="J233" s="3" t="s">
        <v>105</v>
      </c>
      <c r="K233" s="3"/>
      <c r="L233" s="3"/>
      <c r="M233" s="82"/>
      <c r="N233" s="3"/>
      <c r="O233" s="3"/>
      <c r="P233" s="3"/>
      <c r="Q233" s="3"/>
      <c r="R233" s="3"/>
      <c r="S233" s="3"/>
      <c r="T233" s="3"/>
      <c r="U233" s="11"/>
    </row>
    <row r="234" spans="2:21" ht="15.75" x14ac:dyDescent="0.25">
      <c r="B234" s="10"/>
      <c r="C234" s="734" t="s">
        <v>197</v>
      </c>
      <c r="D234" s="734"/>
      <c r="E234" s="734"/>
      <c r="F234" s="734"/>
      <c r="G234" s="734"/>
      <c r="H234" s="734"/>
      <c r="I234" s="3"/>
      <c r="J234" s="250" t="s">
        <v>385</v>
      </c>
      <c r="K234" s="250"/>
      <c r="L234" s="250"/>
      <c r="M234" s="250"/>
      <c r="N234" s="250"/>
      <c r="O234" s="250"/>
      <c r="P234" s="250"/>
      <c r="Q234" s="250"/>
      <c r="R234" s="3"/>
      <c r="S234" s="3"/>
      <c r="T234" s="3"/>
      <c r="U234" s="11"/>
    </row>
    <row r="235" spans="2:21" x14ac:dyDescent="0.25">
      <c r="B235" s="10"/>
      <c r="C235" s="260" t="s">
        <v>193</v>
      </c>
      <c r="D235" s="260"/>
      <c r="E235" s="260"/>
      <c r="F235" s="260" t="s">
        <v>196</v>
      </c>
      <c r="G235" s="260"/>
      <c r="H235" s="260"/>
      <c r="I235" s="3"/>
      <c r="J235" s="386" t="s">
        <v>12</v>
      </c>
      <c r="K235" s="386"/>
      <c r="L235" s="386"/>
      <c r="M235" s="386"/>
      <c r="N235" s="250" t="s">
        <v>13</v>
      </c>
      <c r="O235" s="250"/>
      <c r="P235" s="250"/>
      <c r="Q235" s="250"/>
      <c r="R235" s="3"/>
      <c r="S235" s="3"/>
      <c r="T235" s="3"/>
      <c r="U235" s="11"/>
    </row>
    <row r="236" spans="2:21" x14ac:dyDescent="0.25">
      <c r="B236" s="10"/>
      <c r="C236" s="263" t="s">
        <v>194</v>
      </c>
      <c r="D236" s="263"/>
      <c r="E236" s="263"/>
      <c r="F236" s="263" t="s">
        <v>195</v>
      </c>
      <c r="G236" s="263"/>
      <c r="H236" s="263"/>
      <c r="I236" s="3"/>
      <c r="J236" s="735" t="s">
        <v>354</v>
      </c>
      <c r="K236" s="736">
        <f>F218</f>
        <v>0.50161645615436079</v>
      </c>
      <c r="L236" s="737" t="s">
        <v>348</v>
      </c>
      <c r="M236" s="738">
        <f>LOOKUP(K236*100,'3.1 Coef. de Amortiguamiento'!$J:$J,'3.1 Coef. de Amortiguamiento'!$L:$L)</f>
        <v>2.403</v>
      </c>
      <c r="N236" s="735" t="s">
        <v>354</v>
      </c>
      <c r="O236" s="736">
        <f>G218</f>
        <v>0.41552787481971404</v>
      </c>
      <c r="P236" s="737" t="s">
        <v>348</v>
      </c>
      <c r="Q236" s="738">
        <f>LOOKUP(O236*100,'3.1 Coef. de Amortiguamiento'!$J:$J,'3.1 Coef. de Amortiguamiento'!$L:$L)</f>
        <v>2.1450000000000049</v>
      </c>
      <c r="R236" s="3"/>
      <c r="S236" s="3"/>
      <c r="T236" s="3"/>
      <c r="U236" s="11"/>
    </row>
    <row r="237" spans="2:21" ht="13.5" customHeight="1" x14ac:dyDescent="0.25">
      <c r="B237" s="10"/>
      <c r="C237" s="388" t="s">
        <v>131</v>
      </c>
      <c r="D237" s="245">
        <v>2</v>
      </c>
      <c r="E237" s="479"/>
      <c r="F237" s="442"/>
      <c r="G237" s="739">
        <v>0.8</v>
      </c>
      <c r="H237" s="740"/>
      <c r="I237" s="3"/>
      <c r="J237" s="741" t="s">
        <v>355</v>
      </c>
      <c r="K237" s="742">
        <f>F219</f>
        <v>0.68308655039399624</v>
      </c>
      <c r="L237" s="743" t="s">
        <v>349</v>
      </c>
      <c r="M237" s="744">
        <f>LOOKUP(K237*100,'3.1 Coef. de Amortiguamiento'!$J:$J,'3.1 Coef. de Amortiguamiento'!$L:$L)</f>
        <v>2.9489999999999945</v>
      </c>
      <c r="N237" s="741" t="s">
        <v>355</v>
      </c>
      <c r="O237" s="742">
        <f>G219</f>
        <v>0.5719466697914265</v>
      </c>
      <c r="P237" s="743" t="s">
        <v>349</v>
      </c>
      <c r="Q237" s="744">
        <f>LOOKUP(O237*100,'3.1 Coef. de Amortiguamiento'!$J:$J,'3.1 Coef. de Amortiguamiento'!$L:$L)</f>
        <v>2.6130000000000018</v>
      </c>
      <c r="R237" s="3"/>
      <c r="S237" s="3"/>
      <c r="T237" s="3"/>
      <c r="U237" s="11"/>
    </row>
    <row r="238" spans="2:21" ht="13.5" customHeight="1" x14ac:dyDescent="0.25">
      <c r="B238" s="10"/>
      <c r="C238" s="745"/>
      <c r="D238" s="245">
        <v>5</v>
      </c>
      <c r="E238" s="479"/>
      <c r="F238" s="442"/>
      <c r="G238" s="739">
        <v>1</v>
      </c>
      <c r="H238" s="739"/>
      <c r="I238" s="3"/>
      <c r="J238" s="741" t="s">
        <v>347</v>
      </c>
      <c r="K238" s="742">
        <f>F223</f>
        <v>1.5203040246611836</v>
      </c>
      <c r="L238" s="743" t="s">
        <v>350</v>
      </c>
      <c r="M238" s="744">
        <f>LOOKUP(K238*100,'3.1 Coef. de Amortiguamiento'!$J:$J,'3.1 Coef. de Amortiguamiento'!$L:$L)</f>
        <v>4</v>
      </c>
      <c r="N238" s="741" t="s">
        <v>347</v>
      </c>
      <c r="O238" s="742">
        <f>G223</f>
        <v>1.262866203262528</v>
      </c>
      <c r="P238" s="743" t="s">
        <v>350</v>
      </c>
      <c r="Q238" s="744">
        <f>LOOKUP(O238*100,'3.1 Coef. de Amortiguamiento'!$J:$J,'3.1 Coef. de Amortiguamiento'!$L:$L)</f>
        <v>4</v>
      </c>
      <c r="R238" s="3"/>
      <c r="S238" s="3"/>
      <c r="T238" s="3"/>
      <c r="U238" s="11"/>
    </row>
    <row r="239" spans="2:21" ht="13.5" customHeight="1" x14ac:dyDescent="0.25">
      <c r="B239" s="10"/>
      <c r="C239" s="745"/>
      <c r="D239" s="245">
        <v>10</v>
      </c>
      <c r="E239" s="479"/>
      <c r="F239" s="442"/>
      <c r="G239" s="739">
        <v>1.2</v>
      </c>
      <c r="H239" s="739"/>
      <c r="I239" s="3"/>
      <c r="J239" s="746" t="s">
        <v>356</v>
      </c>
      <c r="K239" s="747">
        <f>F227</f>
        <v>0.33845446188283879</v>
      </c>
      <c r="L239" s="748" t="s">
        <v>357</v>
      </c>
      <c r="M239" s="749">
        <f>LOOKUP(K239*100,'3.1 Coef. de Amortiguamiento'!$J:$J,'3.1 Coef. de Amortiguamiento'!$L:$L)</f>
        <v>1.9140000000000017</v>
      </c>
      <c r="N239" s="746" t="s">
        <v>356</v>
      </c>
      <c r="O239" s="747">
        <f>G227</f>
        <v>0.26816342956618133</v>
      </c>
      <c r="P239" s="748" t="s">
        <v>357</v>
      </c>
      <c r="Q239" s="749">
        <f>LOOKUP(O239*100,'3.1 Coef. de Amortiguamiento'!$J:$J,'3.1 Coef. de Amortiguamiento'!$L:$L)</f>
        <v>1.7040000000000017</v>
      </c>
      <c r="R239" s="3"/>
      <c r="S239" s="3"/>
      <c r="T239" s="3"/>
      <c r="U239" s="11"/>
    </row>
    <row r="240" spans="2:21" ht="13.5" customHeight="1" x14ac:dyDescent="0.25">
      <c r="B240" s="10"/>
      <c r="C240" s="745"/>
      <c r="D240" s="245">
        <v>20</v>
      </c>
      <c r="E240" s="479"/>
      <c r="F240" s="442"/>
      <c r="G240" s="739">
        <v>1.5</v>
      </c>
      <c r="H240" s="739"/>
      <c r="I240" s="3"/>
      <c r="J240" s="3"/>
      <c r="K240" s="3"/>
      <c r="L240" s="82"/>
      <c r="M240" s="3"/>
      <c r="N240" s="3"/>
      <c r="O240" s="3"/>
      <c r="P240" s="3"/>
      <c r="Q240" s="3"/>
      <c r="R240" s="3"/>
      <c r="S240" s="3"/>
      <c r="T240" s="3"/>
      <c r="U240" s="11"/>
    </row>
    <row r="241" spans="2:21" ht="13.5" customHeight="1" x14ac:dyDescent="0.25">
      <c r="B241" s="10"/>
      <c r="C241" s="745"/>
      <c r="D241" s="245">
        <v>30</v>
      </c>
      <c r="E241" s="479"/>
      <c r="F241" s="442"/>
      <c r="G241" s="739">
        <v>1.8</v>
      </c>
      <c r="H241" s="739"/>
      <c r="I241" s="3"/>
      <c r="J241" s="3"/>
      <c r="K241" s="3"/>
      <c r="L241" s="82"/>
      <c r="M241" s="3"/>
      <c r="N241" s="3"/>
      <c r="O241" s="3"/>
      <c r="P241" s="3"/>
      <c r="Q241" s="3"/>
      <c r="R241" s="3"/>
      <c r="S241" s="3"/>
      <c r="T241" s="3"/>
      <c r="U241" s="11"/>
    </row>
    <row r="242" spans="2:21" ht="13.5" customHeight="1" x14ac:dyDescent="0.25">
      <c r="B242" s="10"/>
      <c r="C242" s="745"/>
      <c r="D242" s="245">
        <v>40</v>
      </c>
      <c r="E242" s="479"/>
      <c r="F242" s="442"/>
      <c r="G242" s="739">
        <v>2.1</v>
      </c>
      <c r="H242" s="739"/>
      <c r="I242" s="3"/>
      <c r="J242" s="3"/>
      <c r="K242" s="3"/>
      <c r="L242" s="82"/>
      <c r="M242" s="3"/>
      <c r="N242" s="3"/>
      <c r="O242" s="3"/>
      <c r="P242" s="3"/>
      <c r="Q242" s="3"/>
      <c r="R242" s="3"/>
      <c r="S242" s="3"/>
      <c r="T242" s="3"/>
      <c r="U242" s="11"/>
    </row>
    <row r="243" spans="2:21" ht="13.5" customHeight="1" x14ac:dyDescent="0.25">
      <c r="B243" s="10"/>
      <c r="C243" s="745"/>
      <c r="D243" s="245">
        <v>50</v>
      </c>
      <c r="E243" s="479"/>
      <c r="F243" s="442"/>
      <c r="G243" s="739">
        <v>2.4</v>
      </c>
      <c r="H243" s="739"/>
      <c r="I243" s="3"/>
      <c r="J243" s="3"/>
      <c r="K243" s="3"/>
      <c r="L243" s="82"/>
      <c r="M243" s="3"/>
      <c r="N243" s="3"/>
      <c r="O243" s="3"/>
      <c r="P243" s="3"/>
      <c r="Q243" s="3"/>
      <c r="R243" s="3"/>
      <c r="S243" s="3"/>
      <c r="T243" s="3"/>
      <c r="U243" s="11"/>
    </row>
    <row r="244" spans="2:21" ht="13.5" customHeight="1" x14ac:dyDescent="0.25">
      <c r="B244" s="10"/>
      <c r="C244" s="745"/>
      <c r="D244" s="245">
        <v>60</v>
      </c>
      <c r="E244" s="479"/>
      <c r="F244" s="442"/>
      <c r="G244" s="739">
        <v>2.7</v>
      </c>
      <c r="H244" s="739"/>
      <c r="I244" s="3"/>
      <c r="J244" s="3"/>
      <c r="K244" s="3"/>
      <c r="L244" s="82"/>
      <c r="M244" s="3"/>
      <c r="N244" s="3"/>
      <c r="O244" s="3"/>
      <c r="P244" s="3"/>
      <c r="Q244" s="3"/>
      <c r="R244" s="3"/>
      <c r="S244" s="3"/>
      <c r="T244" s="3"/>
      <c r="U244" s="11"/>
    </row>
    <row r="245" spans="2:21" ht="13.5" customHeight="1" x14ac:dyDescent="0.25">
      <c r="B245" s="10"/>
      <c r="C245" s="745"/>
      <c r="D245" s="245">
        <v>70</v>
      </c>
      <c r="E245" s="479"/>
      <c r="F245" s="442"/>
      <c r="G245" s="739">
        <v>3</v>
      </c>
      <c r="H245" s="739"/>
      <c r="I245" s="3"/>
      <c r="J245" s="3"/>
      <c r="K245" s="3"/>
      <c r="L245" s="82"/>
      <c r="M245" s="3"/>
      <c r="N245" s="3"/>
      <c r="O245" s="3"/>
      <c r="P245" s="3"/>
      <c r="Q245" s="3"/>
      <c r="R245" s="3"/>
      <c r="S245" s="3"/>
      <c r="T245" s="3"/>
      <c r="U245" s="11"/>
    </row>
    <row r="246" spans="2:21" ht="13.5" customHeight="1" x14ac:dyDescent="0.25">
      <c r="B246" s="10"/>
      <c r="C246" s="745"/>
      <c r="D246" s="245">
        <v>80</v>
      </c>
      <c r="E246" s="479"/>
      <c r="F246" s="442"/>
      <c r="G246" s="739">
        <v>3.3</v>
      </c>
      <c r="H246" s="739"/>
      <c r="I246" s="3"/>
      <c r="J246" s="3"/>
      <c r="K246" s="3"/>
      <c r="L246" s="82"/>
      <c r="M246" s="3"/>
      <c r="N246" s="3"/>
      <c r="O246" s="3"/>
      <c r="P246" s="3"/>
      <c r="Q246" s="3"/>
      <c r="R246" s="3"/>
      <c r="S246" s="3"/>
      <c r="T246" s="3"/>
      <c r="U246" s="11"/>
    </row>
    <row r="247" spans="2:21" ht="13.5" customHeight="1" x14ac:dyDescent="0.25">
      <c r="B247" s="10"/>
      <c r="C247" s="745"/>
      <c r="D247" s="245">
        <v>90</v>
      </c>
      <c r="E247" s="479"/>
      <c r="F247" s="442"/>
      <c r="G247" s="739">
        <v>3.6</v>
      </c>
      <c r="H247" s="739"/>
      <c r="I247" s="3"/>
      <c r="J247" s="3"/>
      <c r="K247" s="3"/>
      <c r="L247" s="82"/>
      <c r="M247" s="3"/>
      <c r="N247" s="3"/>
      <c r="O247" s="3"/>
      <c r="P247" s="3"/>
      <c r="Q247" s="3"/>
      <c r="R247" s="3"/>
      <c r="S247" s="3"/>
      <c r="T247" s="3"/>
      <c r="U247" s="11"/>
    </row>
    <row r="248" spans="2:21" ht="13.5" customHeight="1" x14ac:dyDescent="0.25">
      <c r="B248" s="10"/>
      <c r="C248" s="392" t="s">
        <v>74</v>
      </c>
      <c r="D248" s="79">
        <v>100</v>
      </c>
      <c r="E248" s="750"/>
      <c r="F248" s="751"/>
      <c r="G248" s="752">
        <v>4</v>
      </c>
      <c r="H248" s="752"/>
      <c r="I248" s="3"/>
      <c r="J248" s="3"/>
      <c r="K248" s="3"/>
      <c r="L248" s="82"/>
      <c r="M248" s="3"/>
      <c r="N248" s="3"/>
      <c r="O248" s="3"/>
      <c r="P248" s="3"/>
      <c r="Q248" s="3"/>
      <c r="R248" s="3"/>
      <c r="S248" s="3"/>
      <c r="T248" s="3"/>
      <c r="U248" s="11"/>
    </row>
    <row r="249" spans="2:21" ht="13.5" customHeight="1" x14ac:dyDescent="0.25">
      <c r="B249" s="10"/>
      <c r="C249" s="3"/>
      <c r="D249" s="388"/>
      <c r="E249" s="245"/>
      <c r="F249" s="479"/>
      <c r="G249" s="442"/>
      <c r="H249" s="739"/>
      <c r="I249" s="739"/>
      <c r="J249" s="3"/>
      <c r="K249" s="3"/>
      <c r="L249" s="3"/>
      <c r="M249" s="82"/>
      <c r="N249" s="3"/>
      <c r="O249" s="3"/>
      <c r="P249" s="3"/>
      <c r="Q249" s="3"/>
      <c r="R249" s="3"/>
      <c r="S249" s="3"/>
      <c r="T249" s="3"/>
      <c r="U249" s="11"/>
    </row>
    <row r="250" spans="2:21" ht="15.75" thickBot="1" x14ac:dyDescent="0.3">
      <c r="B250" s="23"/>
      <c r="C250" s="24"/>
      <c r="D250" s="24"/>
      <c r="E250" s="24"/>
      <c r="F250" s="24"/>
      <c r="G250" s="24"/>
      <c r="H250" s="208"/>
      <c r="I250" s="208"/>
      <c r="J250" s="24"/>
      <c r="K250" s="24"/>
      <c r="L250" s="24"/>
      <c r="M250" s="208"/>
      <c r="N250" s="24"/>
      <c r="O250" s="24"/>
      <c r="P250" s="24"/>
      <c r="Q250" s="24"/>
      <c r="R250" s="24"/>
      <c r="S250" s="24"/>
      <c r="T250" s="24"/>
      <c r="U250" s="25"/>
    </row>
    <row r="251" spans="2:21" x14ac:dyDescent="0.25">
      <c r="B251" s="1"/>
      <c r="C251" s="1"/>
      <c r="D251" s="753"/>
      <c r="E251" s="1"/>
      <c r="F251" s="1"/>
      <c r="G251" s="1"/>
      <c r="H251" s="754"/>
      <c r="I251" s="576"/>
      <c r="J251" s="1"/>
      <c r="K251" s="1"/>
      <c r="L251" s="1"/>
      <c r="M251" s="576"/>
      <c r="N251" s="1"/>
      <c r="O251" s="1"/>
      <c r="P251" s="1"/>
      <c r="Q251" s="1"/>
      <c r="R251" s="1"/>
    </row>
    <row r="252" spans="2:21" ht="15.75" thickBot="1" x14ac:dyDescent="0.3">
      <c r="B252" s="1"/>
      <c r="C252" s="1"/>
      <c r="D252" s="1"/>
      <c r="E252" s="1"/>
      <c r="F252" s="1"/>
      <c r="G252" s="1"/>
      <c r="H252" s="576"/>
      <c r="I252" s="576"/>
      <c r="J252" s="1"/>
      <c r="K252" s="1"/>
      <c r="L252" s="1"/>
      <c r="M252" s="576"/>
      <c r="N252" s="1"/>
      <c r="O252" s="1"/>
      <c r="P252" s="1"/>
      <c r="Q252" s="1"/>
      <c r="R252" s="1"/>
    </row>
    <row r="253" spans="2:21" ht="15" customHeight="1" x14ac:dyDescent="0.25">
      <c r="B253" s="480" t="s">
        <v>497</v>
      </c>
      <c r="C253" s="481"/>
      <c r="D253" s="481"/>
      <c r="E253" s="481"/>
      <c r="F253" s="481"/>
      <c r="G253" s="481"/>
      <c r="H253" s="481"/>
      <c r="I253" s="481"/>
      <c r="J253" s="481"/>
      <c r="K253" s="481"/>
      <c r="L253" s="481"/>
      <c r="M253" s="481"/>
      <c r="N253" s="481"/>
      <c r="O253" s="481"/>
      <c r="P253" s="481"/>
      <c r="Q253" s="481"/>
      <c r="R253" s="481"/>
      <c r="S253" s="481"/>
      <c r="T253" s="481"/>
      <c r="U253" s="482"/>
    </row>
    <row r="254" spans="2:21" ht="15.75" customHeight="1" thickBot="1" x14ac:dyDescent="0.3">
      <c r="B254" s="483"/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  <c r="N254" s="484"/>
      <c r="O254" s="484"/>
      <c r="P254" s="484"/>
      <c r="Q254" s="484"/>
      <c r="R254" s="484"/>
      <c r="S254" s="484"/>
      <c r="T254" s="484"/>
      <c r="U254" s="485"/>
    </row>
    <row r="255" spans="2:21" x14ac:dyDescent="0.25">
      <c r="B255" s="7"/>
      <c r="C255" s="8"/>
      <c r="D255" s="8"/>
      <c r="E255" s="8"/>
      <c r="F255" s="8"/>
      <c r="G255" s="8"/>
      <c r="H255" s="220"/>
      <c r="I255" s="220"/>
      <c r="J255" s="8"/>
      <c r="K255" s="8"/>
      <c r="L255" s="8"/>
      <c r="M255" s="220"/>
      <c r="N255" s="8"/>
      <c r="O255" s="8"/>
      <c r="P255" s="8"/>
      <c r="Q255" s="8"/>
      <c r="R255" s="8"/>
      <c r="S255" s="8"/>
      <c r="T255" s="8"/>
      <c r="U255" s="9"/>
    </row>
    <row r="256" spans="2:21" x14ac:dyDescent="0.25">
      <c r="B256" s="10"/>
      <c r="C256" s="733" t="s">
        <v>498</v>
      </c>
      <c r="D256" s="733"/>
      <c r="E256" s="733"/>
      <c r="F256" s="733"/>
      <c r="G256" s="733"/>
      <c r="H256" s="733"/>
      <c r="I256" s="733"/>
      <c r="J256" s="733"/>
      <c r="K256" s="733"/>
      <c r="L256" s="733"/>
      <c r="M256" s="733"/>
      <c r="N256" s="733"/>
      <c r="O256" s="3"/>
      <c r="P256" s="3"/>
      <c r="Q256" s="3"/>
      <c r="R256" s="3"/>
      <c r="S256" s="3"/>
      <c r="T256" s="3"/>
      <c r="U256" s="11"/>
    </row>
    <row r="257" spans="2:21" x14ac:dyDescent="0.25">
      <c r="B257" s="10"/>
      <c r="C257" s="733"/>
      <c r="D257" s="733"/>
      <c r="E257" s="733"/>
      <c r="F257" s="733"/>
      <c r="G257" s="733"/>
      <c r="H257" s="733"/>
      <c r="I257" s="733"/>
      <c r="J257" s="733"/>
      <c r="K257" s="733"/>
      <c r="L257" s="733"/>
      <c r="M257" s="733"/>
      <c r="N257" s="733"/>
      <c r="O257" s="3"/>
      <c r="P257" s="3"/>
      <c r="Q257" s="3"/>
      <c r="R257" s="3"/>
      <c r="S257" s="3"/>
      <c r="T257" s="3"/>
      <c r="U257" s="11"/>
    </row>
    <row r="258" spans="2:21" x14ac:dyDescent="0.25">
      <c r="B258" s="10"/>
      <c r="C258" s="3"/>
      <c r="D258" s="3"/>
      <c r="E258" s="3"/>
      <c r="F258" s="3"/>
      <c r="G258" s="3"/>
      <c r="H258" s="82"/>
      <c r="I258" s="82"/>
      <c r="J258" s="3"/>
      <c r="K258" s="3"/>
      <c r="L258" s="3"/>
      <c r="M258" s="82"/>
      <c r="N258" s="3"/>
      <c r="O258" s="3"/>
      <c r="P258" s="3"/>
      <c r="Q258" s="3"/>
      <c r="R258" s="3"/>
      <c r="S258" s="3"/>
      <c r="T258" s="3"/>
      <c r="U258" s="11"/>
    </row>
    <row r="259" spans="2:21" x14ac:dyDescent="0.25">
      <c r="B259" s="10"/>
      <c r="C259" s="3"/>
      <c r="D259" s="250" t="s">
        <v>359</v>
      </c>
      <c r="E259" s="250"/>
      <c r="F259" s="250"/>
      <c r="G259" s="250"/>
      <c r="H259" s="250"/>
      <c r="I259" s="250"/>
      <c r="J259" s="3"/>
      <c r="K259" s="250" t="s">
        <v>360</v>
      </c>
      <c r="L259" s="250"/>
      <c r="M259" s="250"/>
      <c r="N259" s="250"/>
      <c r="O259" s="250"/>
      <c r="P259" s="211"/>
      <c r="Q259" s="3"/>
      <c r="R259" s="3"/>
      <c r="S259" s="3"/>
      <c r="T259" s="3"/>
      <c r="U259" s="11"/>
    </row>
    <row r="260" spans="2:21" x14ac:dyDescent="0.25">
      <c r="B260" s="10"/>
      <c r="C260" s="3"/>
      <c r="D260" s="125"/>
      <c r="E260" s="223" t="s">
        <v>12</v>
      </c>
      <c r="F260" s="223" t="s">
        <v>13</v>
      </c>
      <c r="G260" s="137"/>
      <c r="H260" s="613"/>
      <c r="I260" s="563"/>
      <c r="J260" s="3"/>
      <c r="K260" s="125"/>
      <c r="L260" s="223" t="s">
        <v>12</v>
      </c>
      <c r="M260" s="223" t="s">
        <v>13</v>
      </c>
      <c r="N260" s="137"/>
      <c r="O260" s="613"/>
      <c r="P260" s="125"/>
      <c r="Q260" s="3"/>
      <c r="R260" s="3"/>
      <c r="S260" s="3"/>
      <c r="T260" s="3"/>
      <c r="U260" s="11"/>
    </row>
    <row r="261" spans="2:21" x14ac:dyDescent="0.25">
      <c r="B261" s="10"/>
      <c r="C261" s="3"/>
      <c r="D261" s="124" t="s">
        <v>366</v>
      </c>
      <c r="E261" s="755">
        <f>D200</f>
        <v>3.9865445563796218</v>
      </c>
      <c r="F261" s="755">
        <f>E200</f>
        <v>2.733630552946027</v>
      </c>
      <c r="G261" s="136"/>
      <c r="H261" s="155"/>
      <c r="I261" s="561"/>
      <c r="J261" s="3"/>
      <c r="K261" s="756" t="s">
        <v>364</v>
      </c>
      <c r="L261" s="757">
        <f>($F$6/$F$8)*($P$10/($F$7*M238))</f>
        <v>0.12121212121212122</v>
      </c>
      <c r="M261" s="757">
        <f>($F$6/$F$8)*($P$10/($F$7*Q238))</f>
        <v>0.12121212121212122</v>
      </c>
      <c r="N261" s="496" t="s">
        <v>362</v>
      </c>
      <c r="O261" s="607"/>
      <c r="P261" s="758" t="s">
        <v>361</v>
      </c>
      <c r="Q261" s="3"/>
      <c r="R261" s="3"/>
      <c r="S261" s="3"/>
      <c r="T261" s="3"/>
      <c r="U261" s="11"/>
    </row>
    <row r="262" spans="2:21" x14ac:dyDescent="0.25">
      <c r="B262" s="10"/>
      <c r="C262" s="3"/>
      <c r="D262" s="124" t="s">
        <v>118</v>
      </c>
      <c r="E262" s="755">
        <f>P14</f>
        <v>0.59999999999999987</v>
      </c>
      <c r="F262" s="755">
        <f>E262</f>
        <v>0.59999999999999987</v>
      </c>
      <c r="G262" s="136"/>
      <c r="H262" s="155"/>
      <c r="I262" s="561"/>
      <c r="J262" s="3"/>
      <c r="K262" s="3"/>
      <c r="L262" s="3"/>
      <c r="M262" s="82"/>
      <c r="N262" s="3"/>
      <c r="O262" s="3"/>
      <c r="P262" s="3"/>
      <c r="Q262" s="3"/>
      <c r="R262" s="3"/>
      <c r="S262" s="3"/>
      <c r="T262" s="3"/>
      <c r="U262" s="11"/>
    </row>
    <row r="263" spans="2:21" x14ac:dyDescent="0.25">
      <c r="B263" s="10"/>
      <c r="C263" s="3"/>
      <c r="D263" s="756" t="s">
        <v>365</v>
      </c>
      <c r="E263" s="757">
        <f>IF(E261&lt;E262,($F$6/$F$8)*($P$11/($F$7*M236)),($F$6/$F$8)*($P$11/($F$7*M236*E261)))</f>
        <v>3.0367350347148724E-2</v>
      </c>
      <c r="F263" s="757">
        <f>IF(F261&lt;F262,($F$6/$F$8)*($P$11/($F$7*Q236)),($F$6/$F$8)*($P$11/($F$7*Q236*F261)))</f>
        <v>4.9612393180787431E-2</v>
      </c>
      <c r="G263" s="187" t="s">
        <v>363</v>
      </c>
      <c r="H263" s="607"/>
      <c r="I263" s="759" t="s">
        <v>358</v>
      </c>
      <c r="J263" s="3"/>
      <c r="K263" s="3"/>
      <c r="L263" s="3"/>
      <c r="M263" s="82"/>
      <c r="N263" s="3"/>
      <c r="O263" s="3"/>
      <c r="P263" s="3"/>
      <c r="Q263" s="3"/>
      <c r="R263" s="3"/>
      <c r="S263" s="3"/>
      <c r="T263" s="3"/>
      <c r="U263" s="11"/>
    </row>
    <row r="264" spans="2:21" x14ac:dyDescent="0.25">
      <c r="B264" s="10"/>
      <c r="C264" s="3"/>
      <c r="D264" s="3"/>
      <c r="E264" s="3"/>
      <c r="F264" s="3"/>
      <c r="G264" s="3"/>
      <c r="H264" s="82"/>
      <c r="I264" s="760"/>
      <c r="J264" s="3"/>
      <c r="K264" s="3"/>
      <c r="L264" s="3"/>
      <c r="M264" s="82"/>
      <c r="N264" s="3"/>
      <c r="O264" s="3"/>
      <c r="P264" s="3"/>
      <c r="Q264" s="3"/>
      <c r="R264" s="3"/>
      <c r="S264" s="3"/>
      <c r="T264" s="3"/>
      <c r="U264" s="11"/>
    </row>
    <row r="265" spans="2:21" ht="15.75" thickBot="1" x14ac:dyDescent="0.3">
      <c r="B265" s="23"/>
      <c r="C265" s="761"/>
      <c r="D265" s="24"/>
      <c r="E265" s="24"/>
      <c r="F265" s="24"/>
      <c r="G265" s="24"/>
      <c r="H265" s="208"/>
      <c r="I265" s="762"/>
      <c r="J265" s="24"/>
      <c r="K265" s="24"/>
      <c r="L265" s="24"/>
      <c r="M265" s="208"/>
      <c r="N265" s="24"/>
      <c r="O265" s="24"/>
      <c r="P265" s="24"/>
      <c r="Q265" s="24"/>
      <c r="R265" s="24"/>
      <c r="S265" s="24"/>
      <c r="T265" s="24"/>
      <c r="U265" s="25"/>
    </row>
    <row r="266" spans="2:21" x14ac:dyDescent="0.25">
      <c r="B266" s="7"/>
      <c r="C266" s="8"/>
      <c r="D266" s="8"/>
      <c r="E266" s="8"/>
      <c r="F266" s="8"/>
      <c r="G266" s="8"/>
      <c r="H266" s="220"/>
      <c r="I266" s="220"/>
      <c r="J266" s="8"/>
      <c r="K266" s="8"/>
      <c r="L266" s="8"/>
      <c r="M266" s="220"/>
      <c r="N266" s="8"/>
      <c r="O266" s="8"/>
      <c r="P266" s="8"/>
      <c r="Q266" s="8"/>
      <c r="R266" s="8"/>
      <c r="S266" s="8"/>
      <c r="T266" s="8"/>
      <c r="U266" s="9"/>
    </row>
    <row r="267" spans="2:21" x14ac:dyDescent="0.25">
      <c r="B267" s="10"/>
      <c r="C267" s="733" t="s">
        <v>499</v>
      </c>
      <c r="D267" s="733"/>
      <c r="E267" s="733"/>
      <c r="F267" s="733"/>
      <c r="G267" s="733"/>
      <c r="H267" s="733"/>
      <c r="I267" s="733"/>
      <c r="J267" s="733"/>
      <c r="K267" s="733"/>
      <c r="L267" s="733"/>
      <c r="M267" s="733"/>
      <c r="N267" s="733"/>
      <c r="O267" s="3"/>
      <c r="P267" s="3"/>
      <c r="Q267" s="3"/>
      <c r="R267" s="3"/>
      <c r="S267" s="3"/>
      <c r="T267" s="3"/>
      <c r="U267" s="11"/>
    </row>
    <row r="268" spans="2:21" x14ac:dyDescent="0.25">
      <c r="B268" s="10"/>
      <c r="C268" s="733"/>
      <c r="D268" s="733"/>
      <c r="E268" s="733"/>
      <c r="F268" s="733"/>
      <c r="G268" s="733"/>
      <c r="H268" s="733"/>
      <c r="I268" s="733"/>
      <c r="J268" s="733"/>
      <c r="K268" s="733"/>
      <c r="L268" s="733"/>
      <c r="M268" s="733"/>
      <c r="N268" s="733"/>
      <c r="O268" s="3"/>
      <c r="P268" s="3"/>
      <c r="Q268" s="3"/>
      <c r="R268" s="3"/>
      <c r="S268" s="3"/>
      <c r="T268" s="3"/>
      <c r="U268" s="11"/>
    </row>
    <row r="269" spans="2:21" x14ac:dyDescent="0.25">
      <c r="B269" s="10"/>
      <c r="C269" s="3"/>
      <c r="D269" s="3"/>
      <c r="E269" s="3"/>
      <c r="F269" s="3"/>
      <c r="G269" s="3"/>
      <c r="H269" s="82"/>
      <c r="I269" s="82"/>
      <c r="J269" s="3"/>
      <c r="K269" s="3"/>
      <c r="L269" s="3"/>
      <c r="M269" s="82"/>
      <c r="N269" s="3"/>
      <c r="O269" s="3"/>
      <c r="P269" s="3"/>
      <c r="Q269" s="3"/>
      <c r="R269" s="3"/>
      <c r="S269" s="3"/>
      <c r="T269" s="3"/>
      <c r="U269" s="11"/>
    </row>
    <row r="270" spans="2:21" x14ac:dyDescent="0.25">
      <c r="B270" s="10"/>
      <c r="C270" s="3"/>
      <c r="D270" s="270" t="s">
        <v>200</v>
      </c>
      <c r="E270" s="270"/>
      <c r="F270" s="270"/>
      <c r="G270" s="270"/>
      <c r="H270" s="270"/>
      <c r="I270" s="270"/>
      <c r="J270" s="270"/>
      <c r="K270" s="270"/>
      <c r="L270" s="3"/>
      <c r="M270" s="82"/>
      <c r="N270" s="3"/>
      <c r="O270" s="3"/>
      <c r="P270" s="3"/>
      <c r="Q270" s="3"/>
      <c r="R270" s="3"/>
      <c r="S270" s="3"/>
      <c r="T270" s="3"/>
      <c r="U270" s="11"/>
    </row>
    <row r="271" spans="2:21" x14ac:dyDescent="0.25">
      <c r="B271" s="10"/>
      <c r="C271" s="3"/>
      <c r="D271" s="137"/>
      <c r="E271" s="763" t="s">
        <v>12</v>
      </c>
      <c r="F271" s="763"/>
      <c r="G271" s="763" t="s">
        <v>13</v>
      </c>
      <c r="H271" s="763"/>
      <c r="I271" s="613"/>
      <c r="J271" s="137"/>
      <c r="K271" s="137"/>
      <c r="L271" s="3"/>
      <c r="M271" s="82"/>
      <c r="N271" s="3"/>
      <c r="O271" s="3"/>
      <c r="P271" s="3"/>
      <c r="Q271" s="3"/>
      <c r="R271" s="3"/>
      <c r="S271" s="3"/>
      <c r="T271" s="3"/>
      <c r="U271" s="11"/>
    </row>
    <row r="272" spans="2:21" x14ac:dyDescent="0.25">
      <c r="B272" s="10"/>
      <c r="C272" s="3"/>
      <c r="D272" s="214" t="s">
        <v>198</v>
      </c>
      <c r="E272" s="188">
        <f>1/M239</f>
        <v>0.52246603970741856</v>
      </c>
      <c r="F272" s="136" t="s">
        <v>2</v>
      </c>
      <c r="G272" s="188">
        <f>1/Q239</f>
        <v>0.58685446009389608</v>
      </c>
      <c r="H272" s="155" t="s">
        <v>2</v>
      </c>
      <c r="I272" s="186" t="s">
        <v>234</v>
      </c>
      <c r="J272" s="603"/>
      <c r="K272" s="192" t="s">
        <v>239</v>
      </c>
      <c r="L272" s="3"/>
      <c r="M272" s="82"/>
      <c r="N272" s="3"/>
      <c r="O272" s="3"/>
      <c r="P272" s="3"/>
      <c r="Q272" s="3"/>
      <c r="R272" s="3"/>
      <c r="S272" s="3"/>
      <c r="T272" s="3"/>
      <c r="U272" s="11"/>
    </row>
    <row r="273" spans="2:23" x14ac:dyDescent="0.25">
      <c r="B273" s="10"/>
      <c r="C273" s="3"/>
      <c r="D273" s="214" t="s">
        <v>199</v>
      </c>
      <c r="E273" s="136">
        <v>0.75</v>
      </c>
      <c r="F273" s="136" t="s">
        <v>2</v>
      </c>
      <c r="G273" s="136">
        <v>0.75</v>
      </c>
      <c r="H273" s="155" t="s">
        <v>2</v>
      </c>
      <c r="I273" s="186" t="s">
        <v>235</v>
      </c>
      <c r="J273" s="603"/>
      <c r="K273" s="192" t="s">
        <v>238</v>
      </c>
      <c r="L273" s="3"/>
      <c r="M273" s="82"/>
      <c r="N273" s="3"/>
      <c r="O273" s="3"/>
      <c r="P273" s="3"/>
      <c r="Q273" s="3"/>
      <c r="R273" s="3"/>
      <c r="S273" s="3"/>
      <c r="T273" s="3"/>
      <c r="U273" s="11"/>
    </row>
    <row r="274" spans="2:23" x14ac:dyDescent="0.25">
      <c r="B274" s="10"/>
      <c r="C274" s="3"/>
      <c r="D274" s="764" t="s">
        <v>132</v>
      </c>
      <c r="E274" s="765">
        <f>MAX(E272*$F$18,E273*$F$18)</f>
        <v>321.29237383830048</v>
      </c>
      <c r="F274" s="371" t="s">
        <v>450</v>
      </c>
      <c r="G274" s="765">
        <f>MAX(G272*$F$18,G273*$F$18)</f>
        <v>321.29237383830048</v>
      </c>
      <c r="H274" s="646" t="s">
        <v>450</v>
      </c>
      <c r="I274" s="766"/>
      <c r="J274" s="137"/>
      <c r="K274" s="767"/>
      <c r="L274" s="3"/>
      <c r="M274" s="82"/>
      <c r="N274" s="3"/>
      <c r="O274" s="3"/>
      <c r="P274" s="3"/>
      <c r="Q274" s="3"/>
      <c r="R274" s="3"/>
      <c r="S274" s="3"/>
      <c r="T274" s="3"/>
      <c r="U274" s="11"/>
    </row>
    <row r="275" spans="2:23" x14ac:dyDescent="0.25">
      <c r="B275" s="10"/>
      <c r="C275" s="3"/>
      <c r="D275" s="3"/>
      <c r="E275" s="3"/>
      <c r="F275" s="3"/>
      <c r="G275" s="3"/>
      <c r="H275" s="82"/>
      <c r="I275" s="82"/>
      <c r="J275" s="3"/>
      <c r="K275" s="3"/>
      <c r="L275" s="3"/>
      <c r="M275" s="82"/>
      <c r="N275" s="3"/>
      <c r="O275" s="3"/>
      <c r="P275" s="3"/>
      <c r="Q275" s="3"/>
      <c r="R275" s="3"/>
      <c r="S275" s="3"/>
      <c r="T275" s="3"/>
      <c r="U275" s="11"/>
    </row>
    <row r="276" spans="2:23" ht="15.75" thickBot="1" x14ac:dyDescent="0.3">
      <c r="B276" s="23"/>
      <c r="C276" s="24"/>
      <c r="D276" s="24"/>
      <c r="E276" s="24"/>
      <c r="F276" s="24"/>
      <c r="G276" s="24"/>
      <c r="H276" s="208"/>
      <c r="I276" s="208"/>
      <c r="J276" s="24"/>
      <c r="K276" s="24"/>
      <c r="L276" s="24"/>
      <c r="M276" s="208"/>
      <c r="N276" s="24"/>
      <c r="O276" s="24"/>
      <c r="P276" s="24"/>
      <c r="Q276" s="24"/>
      <c r="R276" s="24"/>
      <c r="S276" s="24"/>
      <c r="T276" s="24"/>
      <c r="U276" s="25"/>
    </row>
    <row r="277" spans="2:23" x14ac:dyDescent="0.25">
      <c r="B277" s="7"/>
      <c r="C277" s="8"/>
      <c r="D277" s="8"/>
      <c r="E277" s="8"/>
      <c r="F277" s="8"/>
      <c r="G277" s="8"/>
      <c r="H277" s="220"/>
      <c r="I277" s="220"/>
      <c r="J277" s="8"/>
      <c r="K277" s="8"/>
      <c r="L277" s="8"/>
      <c r="M277" s="220"/>
      <c r="N277" s="8"/>
      <c r="O277" s="8"/>
      <c r="P277" s="8"/>
      <c r="Q277" s="8"/>
      <c r="R277" s="8"/>
      <c r="S277" s="8"/>
      <c r="T277" s="8"/>
      <c r="U277" s="9"/>
    </row>
    <row r="278" spans="2:23" x14ac:dyDescent="0.25">
      <c r="B278" s="10"/>
      <c r="C278" s="733" t="s">
        <v>500</v>
      </c>
      <c r="D278" s="733"/>
      <c r="E278" s="733"/>
      <c r="F278" s="733"/>
      <c r="G278" s="733"/>
      <c r="H278" s="733"/>
      <c r="I278" s="733"/>
      <c r="J278" s="733"/>
      <c r="K278" s="733"/>
      <c r="L278" s="733"/>
      <c r="M278" s="733"/>
      <c r="N278" s="733"/>
      <c r="O278" s="3"/>
      <c r="P278" s="3"/>
      <c r="Q278" s="3"/>
      <c r="R278" s="3"/>
      <c r="S278" s="3"/>
      <c r="T278" s="3"/>
      <c r="U278" s="11"/>
    </row>
    <row r="279" spans="2:23" x14ac:dyDescent="0.25">
      <c r="B279" s="10"/>
      <c r="C279" s="733"/>
      <c r="D279" s="733"/>
      <c r="E279" s="733"/>
      <c r="F279" s="733"/>
      <c r="G279" s="733"/>
      <c r="H279" s="733"/>
      <c r="I279" s="733"/>
      <c r="J279" s="733"/>
      <c r="K279" s="733"/>
      <c r="L279" s="733"/>
      <c r="M279" s="733"/>
      <c r="N279" s="733"/>
      <c r="O279" s="3"/>
      <c r="P279" s="3"/>
      <c r="Q279" s="3"/>
      <c r="R279" s="3"/>
      <c r="S279" s="3"/>
      <c r="T279" s="3"/>
      <c r="U279" s="11"/>
    </row>
    <row r="280" spans="2:23" ht="15.75" thickBot="1" x14ac:dyDescent="0.3">
      <c r="B280" s="10"/>
      <c r="C280" s="3"/>
      <c r="D280" s="3"/>
      <c r="E280" s="3"/>
      <c r="F280" s="3"/>
      <c r="G280" s="3"/>
      <c r="H280" s="82"/>
      <c r="I280" s="82"/>
      <c r="J280" s="3"/>
      <c r="K280" s="3"/>
      <c r="L280" s="3"/>
      <c r="M280" s="82"/>
      <c r="N280" s="3"/>
      <c r="O280" s="3"/>
      <c r="P280" s="3"/>
      <c r="Q280" s="3"/>
      <c r="R280" s="3"/>
      <c r="S280" s="3"/>
      <c r="T280" s="3"/>
      <c r="U280" s="11"/>
    </row>
    <row r="281" spans="2:23" ht="15.75" thickBot="1" x14ac:dyDescent="0.3">
      <c r="B281" s="10"/>
      <c r="C281" s="3"/>
      <c r="D281" s="270" t="s">
        <v>202</v>
      </c>
      <c r="E281" s="270"/>
      <c r="F281" s="270"/>
      <c r="G281" s="270"/>
      <c r="H281" s="270"/>
      <c r="I281" s="270"/>
      <c r="J281" s="270"/>
      <c r="K281" s="270"/>
      <c r="L281" s="3"/>
      <c r="M281" s="768" t="str">
        <f>IF(OR(E286=" OK - Mayor a la Vmin",G286=" OK - Mayor a la Vmin")," SE REQUIERE MODIFICAR LA CONSTANTE DE AMORTIGUAMEINTO, HASTA QUE LA CORTANTE SISMICA SEA MENOR A LA CORTANTE DE DISEÑO", "LA CORTANTE SISMICA CUMPLE, YA QUE ES MENOR A LA CORTANTE CON LA QUE SE DISEÑO LA ESTRUCTURA")</f>
        <v>LA CORTANTE SISMICA CUMPLE, YA QUE ES MENOR A LA CORTANTE CON LA QUE SE DISEÑO LA ESTRUCTURA</v>
      </c>
      <c r="N281" s="769"/>
      <c r="O281" s="769"/>
      <c r="P281" s="770"/>
      <c r="Q281" s="3"/>
      <c r="R281" s="3"/>
      <c r="S281" s="3"/>
      <c r="T281" s="3"/>
      <c r="U281" s="11"/>
    </row>
    <row r="282" spans="2:23" ht="15.75" thickBot="1" x14ac:dyDescent="0.3">
      <c r="B282" s="10"/>
      <c r="C282" s="3"/>
      <c r="D282" s="125"/>
      <c r="E282" s="269" t="s">
        <v>12</v>
      </c>
      <c r="F282" s="269"/>
      <c r="G282" s="269" t="s">
        <v>13</v>
      </c>
      <c r="H282" s="269"/>
      <c r="I282" s="137"/>
      <c r="J282" s="137"/>
      <c r="K282" s="125"/>
      <c r="L282" s="3"/>
      <c r="M282" s="771"/>
      <c r="N282" s="772"/>
      <c r="O282" s="772"/>
      <c r="P282" s="773"/>
      <c r="Q282" s="3"/>
      <c r="R282" s="3"/>
      <c r="S282" s="3"/>
      <c r="T282" s="3"/>
      <c r="U282" s="11"/>
      <c r="W282" s="774"/>
    </row>
    <row r="283" spans="2:23" x14ac:dyDescent="0.25">
      <c r="B283" s="10"/>
      <c r="C283" s="3"/>
      <c r="D283" s="775" t="s">
        <v>381</v>
      </c>
      <c r="E283" s="776">
        <f>E263*$D$57</f>
        <v>167.21451070925443</v>
      </c>
      <c r="F283" s="139" t="s">
        <v>11</v>
      </c>
      <c r="G283" s="776">
        <f>F263*$D$57</f>
        <v>273.1852452059403</v>
      </c>
      <c r="H283" s="139" t="s">
        <v>11</v>
      </c>
      <c r="I283" s="777" t="s">
        <v>374</v>
      </c>
      <c r="J283" s="778"/>
      <c r="K283" s="779" t="s">
        <v>377</v>
      </c>
      <c r="L283" s="3"/>
      <c r="M283" s="771"/>
      <c r="N283" s="772"/>
      <c r="O283" s="772"/>
      <c r="P283" s="773"/>
      <c r="Q283" s="3"/>
      <c r="R283" s="3"/>
      <c r="S283" s="3"/>
      <c r="T283" s="3"/>
      <c r="U283" s="11"/>
    </row>
    <row r="284" spans="2:23" x14ac:dyDescent="0.25">
      <c r="B284" s="10"/>
      <c r="C284" s="3"/>
      <c r="D284" s="182" t="s">
        <v>380</v>
      </c>
      <c r="E284" s="780">
        <f>L261*$G$105</f>
        <v>163.31946209893377</v>
      </c>
      <c r="F284" s="3" t="s">
        <v>11</v>
      </c>
      <c r="G284" s="780">
        <f>M261*$G$105</f>
        <v>163.31946209893377</v>
      </c>
      <c r="H284" s="82" t="s">
        <v>11</v>
      </c>
      <c r="I284" s="186" t="s">
        <v>375</v>
      </c>
      <c r="J284" s="603"/>
      <c r="K284" s="781" t="s">
        <v>378</v>
      </c>
      <c r="L284" s="3"/>
      <c r="M284" s="771"/>
      <c r="N284" s="772"/>
      <c r="O284" s="772"/>
      <c r="P284" s="773"/>
      <c r="Q284" s="3"/>
      <c r="R284" s="3"/>
      <c r="S284" s="3"/>
      <c r="T284" s="3"/>
      <c r="U284" s="11"/>
    </row>
    <row r="285" spans="2:23" x14ac:dyDescent="0.25">
      <c r="B285" s="10"/>
      <c r="C285" s="3"/>
      <c r="D285" s="782" t="s">
        <v>201</v>
      </c>
      <c r="E285" s="969">
        <f>SQRT(E283^2+E284^2)</f>
        <v>233.73904100945657</v>
      </c>
      <c r="F285" s="3" t="s">
        <v>11</v>
      </c>
      <c r="G285" s="969">
        <f>SQRT(G283^2+G284^2)</f>
        <v>318.28198959180014</v>
      </c>
      <c r="H285" s="82" t="s">
        <v>11</v>
      </c>
      <c r="I285" s="186" t="s">
        <v>376</v>
      </c>
      <c r="J285" s="603"/>
      <c r="K285" s="781" t="s">
        <v>379</v>
      </c>
      <c r="L285" s="3"/>
      <c r="M285" s="771"/>
      <c r="N285" s="772"/>
      <c r="O285" s="772"/>
      <c r="P285" s="773"/>
      <c r="Q285" s="3"/>
      <c r="R285" s="3"/>
      <c r="S285" s="3"/>
      <c r="T285" s="3"/>
      <c r="U285" s="11"/>
    </row>
    <row r="286" spans="2:23" x14ac:dyDescent="0.25">
      <c r="B286" s="10"/>
      <c r="C286" s="3"/>
      <c r="D286" s="783" t="s">
        <v>201</v>
      </c>
      <c r="E286" s="784" t="str">
        <f>IF(E285&gt;=E274," OK - Mayor a la Vmin"," Usar Vmin")</f>
        <v xml:space="preserve"> Usar Vmin</v>
      </c>
      <c r="F286" s="784"/>
      <c r="G286" s="784" t="str">
        <f>IF(G285&gt;=G274," OK - Mayor a la Vmin"," Usar Vmin")</f>
        <v xml:space="preserve"> Usar Vmin</v>
      </c>
      <c r="H286" s="784"/>
      <c r="I286" s="395"/>
      <c r="J286" s="395"/>
      <c r="K286" s="395"/>
      <c r="L286" s="3"/>
      <c r="M286" s="771"/>
      <c r="N286" s="772"/>
      <c r="O286" s="772"/>
      <c r="P286" s="773"/>
      <c r="Q286" s="3"/>
      <c r="R286" s="3"/>
      <c r="S286" s="3"/>
      <c r="T286" s="3"/>
      <c r="U286" s="11"/>
    </row>
    <row r="287" spans="2:23" ht="15.75" thickBot="1" x14ac:dyDescent="0.3">
      <c r="B287" s="10"/>
      <c r="C287" s="3"/>
      <c r="D287" s="785"/>
      <c r="E287" s="970">
        <f>IF(E285&lt;E274,E274,E285)</f>
        <v>321.29237383830048</v>
      </c>
      <c r="F287" s="786" t="s">
        <v>11</v>
      </c>
      <c r="G287" s="970">
        <f>IF(G285&lt;G274,G274,G285)</f>
        <v>321.29237383830048</v>
      </c>
      <c r="H287" s="787" t="s">
        <v>11</v>
      </c>
      <c r="I287" s="122"/>
      <c r="J287" s="528"/>
      <c r="K287" s="122"/>
      <c r="L287" s="3"/>
      <c r="M287" s="788"/>
      <c r="N287" s="789"/>
      <c r="O287" s="789"/>
      <c r="P287" s="790"/>
      <c r="Q287" s="3"/>
      <c r="R287" s="3"/>
      <c r="S287" s="3"/>
      <c r="T287" s="3"/>
      <c r="U287" s="11"/>
    </row>
    <row r="288" spans="2:23" x14ac:dyDescent="0.25">
      <c r="B288" s="10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82"/>
      <c r="N288" s="3"/>
      <c r="O288" s="3"/>
      <c r="P288" s="3"/>
      <c r="Q288" s="3"/>
      <c r="R288" s="3"/>
      <c r="S288" s="3"/>
      <c r="T288" s="3"/>
      <c r="U288" s="11"/>
    </row>
    <row r="289" spans="2:21" ht="15.75" thickBot="1" x14ac:dyDescent="0.3">
      <c r="B289" s="23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08"/>
      <c r="N289" s="24"/>
      <c r="O289" s="24"/>
      <c r="P289" s="24"/>
      <c r="Q289" s="24"/>
      <c r="R289" s="24"/>
      <c r="S289" s="24"/>
      <c r="T289" s="24"/>
      <c r="U289" s="25"/>
    </row>
    <row r="290" spans="2:2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576"/>
      <c r="N290" s="1"/>
      <c r="O290" s="1"/>
      <c r="P290" s="1"/>
      <c r="Q290" s="1"/>
      <c r="R290" s="1"/>
    </row>
    <row r="291" spans="2:21" ht="15.75" thickBot="1" x14ac:dyDescent="0.3">
      <c r="B291" s="1"/>
      <c r="C291" s="1"/>
      <c r="D291" s="1"/>
      <c r="E291" s="1"/>
      <c r="F291" s="1"/>
      <c r="G291" s="1"/>
      <c r="H291" s="576"/>
      <c r="I291" s="576"/>
      <c r="J291" s="1"/>
      <c r="K291" s="1"/>
      <c r="L291" s="1"/>
      <c r="M291" s="576"/>
      <c r="N291" s="1"/>
      <c r="O291" s="1"/>
      <c r="P291" s="1"/>
      <c r="Q291" s="1"/>
      <c r="R291" s="1"/>
    </row>
    <row r="292" spans="2:21" ht="15" customHeight="1" x14ac:dyDescent="0.25">
      <c r="B292" s="480" t="s">
        <v>501</v>
      </c>
      <c r="C292" s="481"/>
      <c r="D292" s="481"/>
      <c r="E292" s="481"/>
      <c r="F292" s="481"/>
      <c r="G292" s="481"/>
      <c r="H292" s="481"/>
      <c r="I292" s="481"/>
      <c r="J292" s="481"/>
      <c r="K292" s="481"/>
      <c r="L292" s="481"/>
      <c r="M292" s="481"/>
      <c r="N292" s="481"/>
      <c r="O292" s="481"/>
      <c r="P292" s="481"/>
      <c r="Q292" s="481"/>
      <c r="R292" s="481"/>
      <c r="S292" s="481"/>
      <c r="T292" s="481"/>
      <c r="U292" s="482"/>
    </row>
    <row r="293" spans="2:21" ht="15.75" customHeight="1" thickBot="1" x14ac:dyDescent="0.3">
      <c r="B293" s="483"/>
      <c r="C293" s="484"/>
      <c r="D293" s="484"/>
      <c r="E293" s="484"/>
      <c r="F293" s="484"/>
      <c r="G293" s="484"/>
      <c r="H293" s="484"/>
      <c r="I293" s="484"/>
      <c r="J293" s="484"/>
      <c r="K293" s="484"/>
      <c r="L293" s="484"/>
      <c r="M293" s="484"/>
      <c r="N293" s="484"/>
      <c r="O293" s="484"/>
      <c r="P293" s="484"/>
      <c r="Q293" s="484"/>
      <c r="R293" s="484"/>
      <c r="S293" s="484"/>
      <c r="T293" s="484"/>
      <c r="U293" s="485"/>
    </row>
    <row r="294" spans="2:21" x14ac:dyDescent="0.25">
      <c r="B294" s="7"/>
      <c r="C294" s="8"/>
      <c r="D294" s="8"/>
      <c r="E294" s="8"/>
      <c r="F294" s="8"/>
      <c r="G294" s="8"/>
      <c r="H294" s="220"/>
      <c r="I294" s="220"/>
      <c r="J294" s="8"/>
      <c r="K294" s="8"/>
      <c r="L294" s="8"/>
      <c r="M294" s="220"/>
      <c r="N294" s="8"/>
      <c r="O294" s="8"/>
      <c r="P294" s="8"/>
      <c r="Q294" s="8"/>
      <c r="R294" s="8"/>
      <c r="S294" s="8"/>
      <c r="T294" s="8"/>
      <c r="U294" s="9"/>
    </row>
    <row r="295" spans="2:21" x14ac:dyDescent="0.25">
      <c r="B295" s="10"/>
      <c r="C295" s="733" t="s">
        <v>502</v>
      </c>
      <c r="D295" s="733"/>
      <c r="E295" s="733"/>
      <c r="F295" s="733"/>
      <c r="G295" s="733"/>
      <c r="H295" s="733"/>
      <c r="I295" s="733"/>
      <c r="J295" s="733"/>
      <c r="K295" s="733"/>
      <c r="L295" s="733"/>
      <c r="M295" s="733"/>
      <c r="N295" s="733"/>
      <c r="O295" s="3"/>
      <c r="P295" s="3"/>
      <c r="Q295" s="3"/>
      <c r="R295" s="3"/>
      <c r="S295" s="3"/>
      <c r="T295" s="3"/>
      <c r="U295" s="11"/>
    </row>
    <row r="296" spans="2:21" x14ac:dyDescent="0.25">
      <c r="B296" s="10"/>
      <c r="C296" s="733"/>
      <c r="D296" s="733"/>
      <c r="E296" s="733"/>
      <c r="F296" s="733"/>
      <c r="G296" s="733"/>
      <c r="H296" s="733"/>
      <c r="I296" s="733"/>
      <c r="J296" s="733"/>
      <c r="K296" s="733"/>
      <c r="L296" s="733"/>
      <c r="M296" s="733"/>
      <c r="N296" s="733"/>
      <c r="O296" s="3"/>
      <c r="P296" s="3"/>
      <c r="Q296" s="3"/>
      <c r="R296" s="3"/>
      <c r="S296" s="3"/>
      <c r="T296" s="3"/>
      <c r="U296" s="11"/>
    </row>
    <row r="297" spans="2:21" ht="15.6" customHeight="1" x14ac:dyDescent="0.25">
      <c r="B297" s="10"/>
      <c r="C297" s="3"/>
      <c r="D297" s="3"/>
      <c r="E297" s="3"/>
      <c r="F297" s="3"/>
      <c r="G297" s="3"/>
      <c r="H297" s="82"/>
      <c r="I297" s="82"/>
      <c r="J297" s="3"/>
      <c r="K297" s="3"/>
      <c r="L297" s="3"/>
      <c r="M297" s="82"/>
      <c r="N297" s="3"/>
      <c r="O297" s="3"/>
      <c r="P297" s="3"/>
      <c r="Q297" s="3"/>
      <c r="R297" s="3"/>
      <c r="S297" s="3"/>
      <c r="T297" s="3"/>
      <c r="U297" s="11"/>
    </row>
    <row r="298" spans="2:21" x14ac:dyDescent="0.25">
      <c r="B298" s="10"/>
      <c r="C298" s="3"/>
      <c r="D298" s="270" t="s">
        <v>203</v>
      </c>
      <c r="E298" s="270"/>
      <c r="F298" s="270"/>
      <c r="G298" s="270"/>
      <c r="H298" s="270"/>
      <c r="I298" s="270"/>
      <c r="J298" s="270"/>
      <c r="K298" s="270"/>
      <c r="L298" s="3"/>
      <c r="M298" s="82"/>
      <c r="N298" s="3"/>
      <c r="O298" s="3"/>
      <c r="P298" s="3"/>
      <c r="Q298" s="3"/>
      <c r="R298" s="3"/>
      <c r="S298" s="3"/>
      <c r="T298" s="3"/>
      <c r="U298" s="11"/>
    </row>
    <row r="299" spans="2:21" ht="15" customHeight="1" x14ac:dyDescent="0.25">
      <c r="B299" s="10"/>
      <c r="C299" s="3"/>
      <c r="D299" s="125"/>
      <c r="E299" s="269" t="s">
        <v>12</v>
      </c>
      <c r="F299" s="269"/>
      <c r="G299" s="269" t="s">
        <v>13</v>
      </c>
      <c r="H299" s="269"/>
      <c r="I299" s="613"/>
      <c r="J299" s="137"/>
      <c r="K299" s="791"/>
      <c r="L299" s="3"/>
      <c r="M299" s="82"/>
      <c r="N299" s="3"/>
      <c r="O299" s="3"/>
      <c r="P299" s="3"/>
      <c r="Q299" s="3"/>
      <c r="R299" s="3"/>
      <c r="S299" s="3"/>
      <c r="T299" s="3"/>
      <c r="U299" s="11"/>
    </row>
    <row r="300" spans="2:21" x14ac:dyDescent="0.25">
      <c r="B300" s="10"/>
      <c r="C300" s="3"/>
      <c r="D300" s="214" t="s">
        <v>388</v>
      </c>
      <c r="E300" s="188">
        <f>($F$16*$D$104/(4*(PI()^2)))*($P$10)*MAX(((D200^2)/M236),((D199^2)/M239))</f>
        <v>96.187491258554545</v>
      </c>
      <c r="F300" s="792" t="s">
        <v>51</v>
      </c>
      <c r="G300" s="188">
        <f>($F$16*$D$104/(4*(PI()^2)))*($P$10)*MAX(((E200^2)/Q236),((E199^2)/Q239))</f>
        <v>50.667732229949223</v>
      </c>
      <c r="H300" s="793" t="s">
        <v>51</v>
      </c>
      <c r="I300" s="186" t="s">
        <v>395</v>
      </c>
      <c r="J300" s="603"/>
      <c r="K300" s="794" t="s">
        <v>392</v>
      </c>
      <c r="L300" s="3"/>
      <c r="M300" s="82"/>
      <c r="N300" s="3"/>
      <c r="O300" s="3"/>
      <c r="P300" s="3"/>
      <c r="Q300" s="3"/>
      <c r="R300" s="3"/>
      <c r="S300" s="3"/>
      <c r="T300" s="3"/>
      <c r="U300" s="11"/>
    </row>
    <row r="301" spans="2:21" x14ac:dyDescent="0.25">
      <c r="B301" s="10"/>
      <c r="C301" s="3"/>
      <c r="D301" s="214" t="s">
        <v>389</v>
      </c>
      <c r="E301" s="188">
        <f>($F$16*$D$104/(4*(PI()^2)))*($P$11)*MAX(((D200)/M236),((D199)/M239))</f>
        <v>14.840189050479779</v>
      </c>
      <c r="F301" s="792" t="s">
        <v>51</v>
      </c>
      <c r="G301" s="188">
        <f>($F$16*$D$104/(4*(PI()^2)))*($P$11)*MAX(((E200)/Q236),((E199)/Q239))</f>
        <v>11.430230117753842</v>
      </c>
      <c r="H301" s="793" t="s">
        <v>51</v>
      </c>
      <c r="I301" s="186" t="s">
        <v>396</v>
      </c>
      <c r="J301" s="603"/>
      <c r="K301" s="794" t="s">
        <v>393</v>
      </c>
      <c r="L301" s="3"/>
      <c r="M301" s="82"/>
      <c r="N301" s="3"/>
      <c r="O301" s="3"/>
      <c r="P301" s="3"/>
      <c r="Q301" s="3"/>
      <c r="R301" s="3"/>
      <c r="S301" s="3"/>
      <c r="T301" s="3"/>
      <c r="U301" s="11"/>
    </row>
    <row r="302" spans="2:21" x14ac:dyDescent="0.25">
      <c r="B302" s="10"/>
      <c r="C302" s="3"/>
      <c r="D302" s="795" t="s">
        <v>390</v>
      </c>
      <c r="E302" s="796">
        <f>IF(D200&lt;P14,E300,E301)</f>
        <v>14.840189050479779</v>
      </c>
      <c r="F302" s="141" t="s">
        <v>51</v>
      </c>
      <c r="G302" s="796">
        <f>IF(F200&lt;R13,G300,G301)</f>
        <v>11.430230117753842</v>
      </c>
      <c r="H302" s="612" t="s">
        <v>479</v>
      </c>
      <c r="I302" s="187"/>
      <c r="J302" s="496"/>
      <c r="K302" s="797"/>
      <c r="L302" s="3"/>
      <c r="M302" s="82"/>
      <c r="N302" s="3"/>
      <c r="O302" s="3"/>
      <c r="P302" s="3"/>
      <c r="Q302" s="3"/>
      <c r="R302" s="3"/>
      <c r="S302" s="3"/>
      <c r="T302" s="3"/>
      <c r="U302" s="11"/>
    </row>
    <row r="303" spans="2:21" x14ac:dyDescent="0.25">
      <c r="B303" s="10"/>
      <c r="C303" s="3"/>
      <c r="D303" s="767" t="s">
        <v>391</v>
      </c>
      <c r="E303" s="796">
        <f>($F$16/(4*(PI()^2)))*(G104/M238)*MIN($P$11*$G$102,$P$10*($G$102^2))</f>
        <v>-0.92977688414306325</v>
      </c>
      <c r="F303" s="141" t="s">
        <v>479</v>
      </c>
      <c r="G303" s="796">
        <f>($F$16/(4*(PI()^2)))*MIN((($P$11*$G$104*G103)/Q238),(($P$10*$D$59*(G103^2))/Q238))</f>
        <v>-0.63756129198381484</v>
      </c>
      <c r="H303" s="612" t="s">
        <v>479</v>
      </c>
      <c r="I303" s="187" t="s">
        <v>397</v>
      </c>
      <c r="J303" s="496"/>
      <c r="K303" s="798" t="s">
        <v>394</v>
      </c>
      <c r="L303" s="3"/>
      <c r="M303" s="82"/>
      <c r="N303" s="3"/>
      <c r="O303" s="3"/>
      <c r="P303" s="3"/>
      <c r="Q303" s="3"/>
      <c r="R303" s="3"/>
      <c r="S303" s="3"/>
      <c r="T303" s="3"/>
      <c r="U303" s="11"/>
    </row>
    <row r="304" spans="2:21" x14ac:dyDescent="0.25">
      <c r="B304" s="10"/>
      <c r="C304" s="3"/>
      <c r="D304" s="3"/>
      <c r="E304" s="3"/>
      <c r="F304" s="3"/>
      <c r="G304" s="3"/>
      <c r="H304" s="82"/>
      <c r="I304" s="82"/>
      <c r="J304" s="3"/>
      <c r="K304" s="3"/>
      <c r="L304" s="3"/>
      <c r="M304" s="82"/>
      <c r="N304" s="3"/>
      <c r="O304" s="3"/>
      <c r="P304" s="3"/>
      <c r="Q304" s="3"/>
      <c r="R304" s="3"/>
      <c r="S304" s="3"/>
      <c r="T304" s="3"/>
      <c r="U304" s="11"/>
    </row>
    <row r="305" spans="2:21" x14ac:dyDescent="0.25">
      <c r="B305" s="10"/>
      <c r="C305" s="3"/>
      <c r="D305" s="3"/>
      <c r="E305" s="3"/>
      <c r="F305" s="3"/>
      <c r="G305" s="3"/>
      <c r="H305" s="82"/>
      <c r="I305" s="82"/>
      <c r="J305" s="3"/>
      <c r="K305" s="3"/>
      <c r="L305" s="3"/>
      <c r="M305" s="82"/>
      <c r="N305" s="3"/>
      <c r="O305" s="3"/>
      <c r="P305" s="3"/>
      <c r="Q305" s="3"/>
      <c r="R305" s="3"/>
      <c r="S305" s="3"/>
      <c r="T305" s="3"/>
      <c r="U305" s="11"/>
    </row>
    <row r="306" spans="2:21" x14ac:dyDescent="0.25">
      <c r="B306" s="10"/>
      <c r="C306" s="3"/>
      <c r="D306" s="270" t="s">
        <v>413</v>
      </c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  <c r="O306" s="270"/>
      <c r="P306" s="270"/>
      <c r="Q306" s="270"/>
      <c r="R306" s="3"/>
      <c r="S306" s="3"/>
      <c r="T306" s="3"/>
      <c r="U306" s="11"/>
    </row>
    <row r="307" spans="2:21" ht="15" customHeight="1" x14ac:dyDescent="0.25">
      <c r="B307" s="10"/>
      <c r="C307" s="3"/>
      <c r="D307" s="251" t="s">
        <v>22</v>
      </c>
      <c r="E307" s="251" t="s">
        <v>414</v>
      </c>
      <c r="F307" s="251" t="s">
        <v>415</v>
      </c>
      <c r="G307" s="799" t="s">
        <v>12</v>
      </c>
      <c r="H307" s="799"/>
      <c r="I307" s="799"/>
      <c r="J307" s="799"/>
      <c r="K307" s="799"/>
      <c r="L307" s="800"/>
      <c r="M307" s="799" t="s">
        <v>13</v>
      </c>
      <c r="N307" s="799"/>
      <c r="O307" s="799"/>
      <c r="P307" s="799"/>
      <c r="Q307" s="799"/>
      <c r="R307" s="3"/>
      <c r="S307" s="3"/>
      <c r="T307" s="3"/>
      <c r="U307" s="11"/>
    </row>
    <row r="308" spans="2:21" x14ac:dyDescent="0.25">
      <c r="B308" s="10"/>
      <c r="C308" s="3"/>
      <c r="D308" s="801"/>
      <c r="E308" s="801"/>
      <c r="F308" s="801"/>
      <c r="G308" s="201" t="s">
        <v>408</v>
      </c>
      <c r="H308" s="793" t="s">
        <v>405</v>
      </c>
      <c r="I308" s="201" t="s">
        <v>407</v>
      </c>
      <c r="J308" s="201" t="s">
        <v>406</v>
      </c>
      <c r="K308" s="802" t="s">
        <v>412</v>
      </c>
      <c r="L308" s="201"/>
      <c r="M308" s="793" t="s">
        <v>408</v>
      </c>
      <c r="N308" s="201" t="s">
        <v>405</v>
      </c>
      <c r="O308" s="201" t="s">
        <v>407</v>
      </c>
      <c r="P308" s="201" t="s">
        <v>406</v>
      </c>
      <c r="Q308" s="802" t="s">
        <v>412</v>
      </c>
      <c r="R308" s="3"/>
      <c r="S308" s="3"/>
      <c r="T308" s="3"/>
      <c r="U308" s="11"/>
    </row>
    <row r="309" spans="2:21" ht="12" customHeight="1" x14ac:dyDescent="0.25">
      <c r="B309" s="10"/>
      <c r="C309" s="3"/>
      <c r="D309" s="252"/>
      <c r="E309" s="252"/>
      <c r="F309" s="252"/>
      <c r="G309" s="616" t="s">
        <v>409</v>
      </c>
      <c r="H309" s="803"/>
      <c r="I309" s="616" t="s">
        <v>410</v>
      </c>
      <c r="J309" s="616"/>
      <c r="K309" s="804" t="s">
        <v>411</v>
      </c>
      <c r="L309" s="805"/>
      <c r="M309" s="803" t="s">
        <v>409</v>
      </c>
      <c r="N309" s="616"/>
      <c r="O309" s="616" t="s">
        <v>410</v>
      </c>
      <c r="P309" s="616"/>
      <c r="Q309" s="804" t="s">
        <v>411</v>
      </c>
      <c r="R309" s="3"/>
      <c r="S309" s="3"/>
      <c r="T309" s="3"/>
      <c r="U309" s="11"/>
    </row>
    <row r="310" spans="2:21" x14ac:dyDescent="0.25">
      <c r="B310" s="10"/>
      <c r="C310" s="3"/>
      <c r="D310" s="123" t="s">
        <v>14</v>
      </c>
      <c r="E310" s="161">
        <f>F32</f>
        <v>1</v>
      </c>
      <c r="F310" s="161">
        <f>F111</f>
        <v>1</v>
      </c>
      <c r="G310" s="161">
        <f>E310*$E$302</f>
        <v>14.840189050479779</v>
      </c>
      <c r="H310" s="806">
        <f>G310-G311</f>
        <v>2.4733648417466298</v>
      </c>
      <c r="I310" s="161">
        <f t="shared" ref="I310:I316" si="27">F310*$E$303</f>
        <v>-0.92977688414306325</v>
      </c>
      <c r="J310" s="161">
        <f>I310-I311</f>
        <v>-0.47340203071030518</v>
      </c>
      <c r="K310" s="179">
        <f t="shared" ref="K310:K316" si="28">SQRT(G310^2+I310^2)</f>
        <v>14.869287007394359</v>
      </c>
      <c r="L310" s="165"/>
      <c r="M310" s="806">
        <f t="shared" ref="M310:M316" si="29">E310*$G$302</f>
        <v>11.430230117753842</v>
      </c>
      <c r="N310" s="161">
        <f t="shared" ref="N310:N316" si="30">M310-M311</f>
        <v>1.9050383529589734</v>
      </c>
      <c r="O310" s="161">
        <f t="shared" ref="O310:O316" si="31">F310*$G$303</f>
        <v>-0.63756129198381484</v>
      </c>
      <c r="P310" s="161">
        <f t="shared" ref="P310:P316" si="32">O310-O311</f>
        <v>-0.32461853534420926</v>
      </c>
      <c r="Q310" s="179">
        <f t="shared" ref="Q310:Q316" si="33">SQRT(M310^2+O310^2)</f>
        <v>11.447997420765043</v>
      </c>
      <c r="R310" s="3"/>
      <c r="S310" s="3"/>
      <c r="T310" s="3"/>
      <c r="U310" s="11"/>
    </row>
    <row r="311" spans="2:21" x14ac:dyDescent="0.25">
      <c r="B311" s="10"/>
      <c r="C311" s="3"/>
      <c r="D311" s="124" t="s">
        <v>147</v>
      </c>
      <c r="E311" s="165">
        <f>F33</f>
        <v>0.83333333333333337</v>
      </c>
      <c r="F311" s="165">
        <f>F112</f>
        <v>0.49084340686032418</v>
      </c>
      <c r="G311" s="165">
        <f t="shared" ref="G311:G316" si="34">E311*$E$302</f>
        <v>12.366824208733149</v>
      </c>
      <c r="H311" s="653">
        <f t="shared" ref="H311:J316" si="35">G311-G312</f>
        <v>2.4733648417466298</v>
      </c>
      <c r="I311" s="165">
        <f t="shared" si="27"/>
        <v>-0.45637485343275808</v>
      </c>
      <c r="J311" s="165">
        <f t="shared" si="35"/>
        <v>-0.47340203071030584</v>
      </c>
      <c r="K311" s="172">
        <f t="shared" si="28"/>
        <v>12.375242180117286</v>
      </c>
      <c r="L311" s="165"/>
      <c r="M311" s="653">
        <f t="shared" si="29"/>
        <v>9.5251917647948687</v>
      </c>
      <c r="N311" s="165">
        <f t="shared" si="30"/>
        <v>1.9050383529589743</v>
      </c>
      <c r="O311" s="165">
        <f t="shared" si="31"/>
        <v>-0.31294275663960558</v>
      </c>
      <c r="P311" s="165">
        <f t="shared" si="32"/>
        <v>-0.32461853534420976</v>
      </c>
      <c r="Q311" s="172">
        <f t="shared" si="33"/>
        <v>9.5303311235785078</v>
      </c>
      <c r="R311" s="3"/>
      <c r="S311" s="3"/>
      <c r="T311" s="3"/>
      <c r="U311" s="11"/>
    </row>
    <row r="312" spans="2:21" x14ac:dyDescent="0.25">
      <c r="B312" s="10"/>
      <c r="C312" s="3"/>
      <c r="D312" s="230" t="s">
        <v>17</v>
      </c>
      <c r="E312" s="165">
        <f>F34</f>
        <v>0.66666666666666663</v>
      </c>
      <c r="F312" s="165">
        <f>F113</f>
        <v>-1.8313186279352366E-2</v>
      </c>
      <c r="G312" s="165">
        <f t="shared" si="34"/>
        <v>9.8934593669865194</v>
      </c>
      <c r="H312" s="653">
        <f t="shared" si="35"/>
        <v>2.4733648417466298</v>
      </c>
      <c r="I312" s="165">
        <f t="shared" si="27"/>
        <v>1.7027177277547739E-2</v>
      </c>
      <c r="J312" s="165">
        <f t="shared" si="35"/>
        <v>-0.4734020307103054</v>
      </c>
      <c r="K312" s="172">
        <f t="shared" si="28"/>
        <v>9.8934740193209851</v>
      </c>
      <c r="L312" s="165"/>
      <c r="M312" s="653">
        <f t="shared" si="29"/>
        <v>7.6201534118358945</v>
      </c>
      <c r="N312" s="165">
        <f t="shared" si="30"/>
        <v>1.9050383529589734</v>
      </c>
      <c r="O312" s="165">
        <f t="shared" si="31"/>
        <v>1.1675778704604166E-2</v>
      </c>
      <c r="P312" s="165">
        <f t="shared" si="32"/>
        <v>-0.32461853534420937</v>
      </c>
      <c r="Q312" s="172">
        <f t="shared" si="33"/>
        <v>7.6201623567823393</v>
      </c>
      <c r="R312" s="3"/>
      <c r="S312" s="3"/>
      <c r="T312" s="3"/>
      <c r="U312" s="11"/>
    </row>
    <row r="313" spans="2:21" x14ac:dyDescent="0.25">
      <c r="B313" s="10"/>
      <c r="C313" s="3"/>
      <c r="D313" s="124" t="s">
        <v>18</v>
      </c>
      <c r="E313" s="165">
        <f>F35</f>
        <v>0.5</v>
      </c>
      <c r="F313" s="165">
        <f>F114</f>
        <v>-0.5274697794190284</v>
      </c>
      <c r="G313" s="165">
        <f t="shared" si="34"/>
        <v>7.4200945252398895</v>
      </c>
      <c r="H313" s="653">
        <f t="shared" si="35"/>
        <v>2.4733648417466298</v>
      </c>
      <c r="I313" s="165">
        <f t="shared" si="27"/>
        <v>0.49042920798785311</v>
      </c>
      <c r="J313" s="165">
        <f t="shared" si="35"/>
        <v>-0.47340203071030568</v>
      </c>
      <c r="K313" s="172">
        <f t="shared" si="28"/>
        <v>7.4362842583875564</v>
      </c>
      <c r="L313" s="165"/>
      <c r="M313" s="653">
        <f t="shared" si="29"/>
        <v>5.7151150588769211</v>
      </c>
      <c r="N313" s="165">
        <f t="shared" si="30"/>
        <v>1.9050383529589738</v>
      </c>
      <c r="O313" s="165">
        <f t="shared" si="31"/>
        <v>0.33629431404881355</v>
      </c>
      <c r="P313" s="165">
        <f t="shared" si="32"/>
        <v>-0.32461853534420965</v>
      </c>
      <c r="Q313" s="172">
        <f t="shared" si="33"/>
        <v>5.7250007861888816</v>
      </c>
      <c r="R313" s="3"/>
      <c r="S313" s="3"/>
      <c r="T313" s="3"/>
      <c r="U313" s="11"/>
    </row>
    <row r="314" spans="2:21" x14ac:dyDescent="0.25">
      <c r="B314" s="10"/>
      <c r="C314" s="3"/>
      <c r="D314" s="230" t="s">
        <v>19</v>
      </c>
      <c r="E314" s="165">
        <f>F36</f>
        <v>0.33333333333333331</v>
      </c>
      <c r="F314" s="165">
        <f>F115</f>
        <v>-1.0366263725587048</v>
      </c>
      <c r="G314" s="165">
        <f t="shared" si="34"/>
        <v>4.9467296834932597</v>
      </c>
      <c r="H314" s="653">
        <f t="shared" si="35"/>
        <v>2.4733648417466298</v>
      </c>
      <c r="I314" s="165">
        <f t="shared" si="27"/>
        <v>0.96383123869815879</v>
      </c>
      <c r="J314" s="165">
        <f t="shared" si="35"/>
        <v>-0.4734020307103054</v>
      </c>
      <c r="K314" s="172">
        <f t="shared" si="28"/>
        <v>5.039752495732678</v>
      </c>
      <c r="L314" s="165"/>
      <c r="M314" s="653">
        <f t="shared" si="29"/>
        <v>3.8100767059179472</v>
      </c>
      <c r="N314" s="165">
        <f t="shared" si="30"/>
        <v>1.9050383529589736</v>
      </c>
      <c r="O314" s="165">
        <f t="shared" si="31"/>
        <v>0.66091284939302319</v>
      </c>
      <c r="P314" s="165">
        <f t="shared" si="32"/>
        <v>-0.32461853534420937</v>
      </c>
      <c r="Q314" s="172">
        <f t="shared" si="33"/>
        <v>3.8669743080955894</v>
      </c>
      <c r="R314" s="3"/>
      <c r="S314" s="3"/>
      <c r="T314" s="3"/>
      <c r="U314" s="11"/>
    </row>
    <row r="315" spans="2:21" x14ac:dyDescent="0.25">
      <c r="B315" s="10"/>
      <c r="C315" s="3"/>
      <c r="D315" s="124" t="s">
        <v>16</v>
      </c>
      <c r="E315" s="165">
        <f>F37</f>
        <v>0.16666666666666666</v>
      </c>
      <c r="F315" s="165">
        <f>F116</f>
        <v>-1.5457829656983808</v>
      </c>
      <c r="G315" s="165">
        <f t="shared" si="34"/>
        <v>2.4733648417466298</v>
      </c>
      <c r="H315" s="653">
        <f t="shared" si="35"/>
        <v>2.4733648417466298</v>
      </c>
      <c r="I315" s="165">
        <f t="shared" si="27"/>
        <v>1.4372332694084642</v>
      </c>
      <c r="J315" s="165">
        <f t="shared" si="35"/>
        <v>1.4372332694084642</v>
      </c>
      <c r="K315" s="172">
        <f t="shared" si="28"/>
        <v>2.860624601565692</v>
      </c>
      <c r="L315" s="165"/>
      <c r="M315" s="653">
        <f t="shared" si="29"/>
        <v>1.9050383529589736</v>
      </c>
      <c r="N315" s="165">
        <f t="shared" si="30"/>
        <v>1.9050383529589736</v>
      </c>
      <c r="O315" s="165">
        <f t="shared" si="31"/>
        <v>0.98553138473723256</v>
      </c>
      <c r="P315" s="165">
        <f t="shared" si="32"/>
        <v>0.98553138473723256</v>
      </c>
      <c r="Q315" s="172">
        <f t="shared" si="33"/>
        <v>2.1448643865164825</v>
      </c>
      <c r="R315" s="3"/>
      <c r="S315" s="3"/>
      <c r="T315" s="3"/>
      <c r="U315" s="11"/>
    </row>
    <row r="316" spans="2:21" x14ac:dyDescent="0.25">
      <c r="B316" s="10"/>
      <c r="C316" s="3"/>
      <c r="D316" s="125" t="s">
        <v>30</v>
      </c>
      <c r="E316" s="173">
        <f>F38</f>
        <v>0</v>
      </c>
      <c r="F316" s="173">
        <f>F117</f>
        <v>0</v>
      </c>
      <c r="G316" s="173">
        <f t="shared" si="34"/>
        <v>0</v>
      </c>
      <c r="H316" s="807">
        <f t="shared" si="35"/>
        <v>0</v>
      </c>
      <c r="I316" s="173">
        <f t="shared" si="27"/>
        <v>0</v>
      </c>
      <c r="J316" s="173">
        <f t="shared" si="35"/>
        <v>0</v>
      </c>
      <c r="K316" s="180">
        <f t="shared" si="28"/>
        <v>0</v>
      </c>
      <c r="L316" s="173"/>
      <c r="M316" s="807">
        <f t="shared" si="29"/>
        <v>0</v>
      </c>
      <c r="N316" s="173">
        <f t="shared" si="30"/>
        <v>0</v>
      </c>
      <c r="O316" s="173">
        <f t="shared" si="31"/>
        <v>0</v>
      </c>
      <c r="P316" s="173">
        <f t="shared" si="32"/>
        <v>0</v>
      </c>
      <c r="Q316" s="180">
        <f t="shared" si="33"/>
        <v>0</v>
      </c>
      <c r="R316" s="3"/>
      <c r="S316" s="3"/>
      <c r="T316" s="3"/>
      <c r="U316" s="11"/>
    </row>
    <row r="317" spans="2:21" x14ac:dyDescent="0.25">
      <c r="B317" s="10"/>
      <c r="C317" s="3"/>
      <c r="D317" s="3"/>
      <c r="E317" s="3"/>
      <c r="F317" s="3"/>
      <c r="G317" s="3"/>
      <c r="H317" s="82"/>
      <c r="I317" s="82"/>
      <c r="J317" s="3"/>
      <c r="K317" s="3"/>
      <c r="L317" s="3"/>
      <c r="M317" s="82"/>
      <c r="N317" s="3"/>
      <c r="O317" s="3"/>
      <c r="P317" s="3"/>
      <c r="Q317" s="3"/>
      <c r="R317" s="3"/>
      <c r="S317" s="3"/>
      <c r="T317" s="3"/>
      <c r="U317" s="11"/>
    </row>
    <row r="318" spans="2:21" x14ac:dyDescent="0.25">
      <c r="B318" s="10"/>
      <c r="C318" s="3"/>
      <c r="D318" s="3"/>
      <c r="E318" s="3"/>
      <c r="F318" s="3"/>
      <c r="G318" s="3"/>
      <c r="H318" s="82"/>
      <c r="I318" s="82"/>
      <c r="J318" s="3"/>
      <c r="K318" s="3"/>
      <c r="L318" s="3"/>
      <c r="M318" s="82"/>
      <c r="N318" s="3"/>
      <c r="O318" s="3"/>
      <c r="P318" s="3"/>
      <c r="Q318" s="3"/>
      <c r="R318" s="3"/>
      <c r="S318" s="3"/>
      <c r="T318" s="3"/>
      <c r="U318" s="11"/>
    </row>
    <row r="319" spans="2:21" x14ac:dyDescent="0.25">
      <c r="B319" s="10"/>
      <c r="C319" s="3"/>
      <c r="D319" s="270" t="s">
        <v>423</v>
      </c>
      <c r="E319" s="270"/>
      <c r="F319" s="270"/>
      <c r="G319" s="270"/>
      <c r="H319" s="270"/>
      <c r="I319" s="270"/>
      <c r="J319" s="270"/>
      <c r="K319" s="270"/>
      <c r="L319" s="3"/>
      <c r="M319" s="82"/>
      <c r="N319" s="3"/>
      <c r="O319" s="3"/>
      <c r="P319" s="3"/>
      <c r="Q319" s="3"/>
      <c r="R319" s="3"/>
      <c r="S319" s="3"/>
      <c r="T319" s="3"/>
      <c r="U319" s="11"/>
    </row>
    <row r="320" spans="2:21" x14ac:dyDescent="0.25">
      <c r="B320" s="10"/>
      <c r="C320" s="3"/>
      <c r="D320" s="251" t="s">
        <v>22</v>
      </c>
      <c r="E320" s="799" t="s">
        <v>12</v>
      </c>
      <c r="F320" s="799"/>
      <c r="G320" s="799"/>
      <c r="H320" s="808"/>
      <c r="I320" s="799" t="s">
        <v>13</v>
      </c>
      <c r="J320" s="799"/>
      <c r="K320" s="799"/>
      <c r="L320" s="3"/>
      <c r="M320" s="82"/>
      <c r="N320" s="3"/>
      <c r="O320" s="3"/>
      <c r="P320" s="3"/>
      <c r="Q320" s="3"/>
      <c r="R320" s="3"/>
      <c r="S320" s="3"/>
      <c r="T320" s="3"/>
      <c r="U320" s="11"/>
    </row>
    <row r="321" spans="2:21" x14ac:dyDescent="0.25">
      <c r="B321" s="10"/>
      <c r="C321" s="3"/>
      <c r="D321" s="801"/>
      <c r="E321" s="201" t="s">
        <v>405</v>
      </c>
      <c r="F321" s="201" t="s">
        <v>406</v>
      </c>
      <c r="G321" s="802" t="s">
        <v>422</v>
      </c>
      <c r="H321" s="793"/>
      <c r="I321" s="201" t="s">
        <v>405</v>
      </c>
      <c r="J321" s="201" t="s">
        <v>406</v>
      </c>
      <c r="K321" s="802" t="s">
        <v>422</v>
      </c>
      <c r="L321" s="3"/>
      <c r="M321" s="82"/>
      <c r="N321" s="3"/>
      <c r="O321" s="3"/>
      <c r="P321" s="3"/>
      <c r="Q321" s="3"/>
      <c r="R321" s="3"/>
      <c r="S321" s="3"/>
      <c r="T321" s="3"/>
      <c r="U321" s="11"/>
    </row>
    <row r="322" spans="2:21" ht="10.5" customHeight="1" x14ac:dyDescent="0.25">
      <c r="B322" s="10"/>
      <c r="C322" s="3"/>
      <c r="D322" s="252"/>
      <c r="E322" s="809"/>
      <c r="F322" s="809"/>
      <c r="G322" s="810" t="s">
        <v>421</v>
      </c>
      <c r="H322" s="811"/>
      <c r="I322" s="809"/>
      <c r="J322" s="809"/>
      <c r="K322" s="810" t="s">
        <v>421</v>
      </c>
      <c r="L322" s="3"/>
      <c r="M322" s="82"/>
      <c r="N322" s="3"/>
      <c r="O322" s="3"/>
      <c r="P322" s="3"/>
      <c r="Q322" s="3"/>
      <c r="R322" s="3"/>
      <c r="S322" s="3"/>
      <c r="T322" s="3"/>
      <c r="U322" s="11"/>
    </row>
    <row r="323" spans="2:21" x14ac:dyDescent="0.25">
      <c r="B323" s="10"/>
      <c r="C323" s="3"/>
      <c r="D323" s="124" t="s">
        <v>14</v>
      </c>
      <c r="E323" s="165">
        <f>G310-G311</f>
        <v>2.4733648417466298</v>
      </c>
      <c r="F323" s="165">
        <f>I310-I311</f>
        <v>-0.47340203071030518</v>
      </c>
      <c r="G323" s="172">
        <f t="shared" ref="G323:G329" si="36">SQRT(E323^2+F323^2)</f>
        <v>2.5182619250326153</v>
      </c>
      <c r="H323" s="653"/>
      <c r="I323" s="653">
        <f>M310-M311</f>
        <v>1.9050383529589734</v>
      </c>
      <c r="J323" s="165">
        <f>O310-O311</f>
        <v>-0.32461853534420926</v>
      </c>
      <c r="K323" s="172">
        <f>SQRT(I323^2+J323^2)</f>
        <v>1.9324979481835571</v>
      </c>
      <c r="L323" s="3"/>
      <c r="M323" s="82"/>
      <c r="N323" s="3"/>
      <c r="O323" s="3"/>
      <c r="P323" s="3"/>
      <c r="Q323" s="3"/>
      <c r="R323" s="3"/>
      <c r="S323" s="3"/>
      <c r="T323" s="3"/>
      <c r="U323" s="11"/>
    </row>
    <row r="324" spans="2:21" x14ac:dyDescent="0.25">
      <c r="B324" s="10"/>
      <c r="C324" s="3"/>
      <c r="D324" s="124" t="s">
        <v>147</v>
      </c>
      <c r="E324" s="165">
        <f>G311-G312</f>
        <v>2.4733648417466298</v>
      </c>
      <c r="F324" s="165">
        <f>I311-I312</f>
        <v>-0.47340203071030584</v>
      </c>
      <c r="G324" s="172">
        <f t="shared" si="36"/>
        <v>2.5182619250326153</v>
      </c>
      <c r="H324" s="653"/>
      <c r="I324" s="653">
        <f>M311-M312</f>
        <v>1.9050383529589743</v>
      </c>
      <c r="J324" s="165">
        <f>O311-O312</f>
        <v>-0.32461853534420976</v>
      </c>
      <c r="K324" s="172">
        <f t="shared" ref="K324:K329" si="37">SQRT(I324^2+J324^2)</f>
        <v>1.9324979481835578</v>
      </c>
      <c r="L324" s="3"/>
      <c r="M324" s="82"/>
      <c r="N324" s="3"/>
      <c r="O324" s="3"/>
      <c r="P324" s="3"/>
      <c r="Q324" s="3"/>
      <c r="R324" s="3"/>
      <c r="S324" s="3"/>
      <c r="T324" s="3"/>
      <c r="U324" s="11"/>
    </row>
    <row r="325" spans="2:21" x14ac:dyDescent="0.25">
      <c r="B325" s="10"/>
      <c r="C325" s="3"/>
      <c r="D325" s="230" t="s">
        <v>17</v>
      </c>
      <c r="E325" s="165">
        <f>G312-G313</f>
        <v>2.4733648417466298</v>
      </c>
      <c r="F325" s="165">
        <f>I312-I313</f>
        <v>-0.4734020307103054</v>
      </c>
      <c r="G325" s="172">
        <f t="shared" si="36"/>
        <v>2.5182619250326153</v>
      </c>
      <c r="H325" s="653"/>
      <c r="I325" s="653">
        <f>M312-M313</f>
        <v>1.9050383529589734</v>
      </c>
      <c r="J325" s="165">
        <f>O312-O313</f>
        <v>-0.32461853534420937</v>
      </c>
      <c r="K325" s="172">
        <f t="shared" si="37"/>
        <v>1.9324979481835571</v>
      </c>
      <c r="L325" s="3"/>
      <c r="M325" s="82"/>
      <c r="N325" s="3"/>
      <c r="O325" s="3"/>
      <c r="P325" s="3"/>
      <c r="Q325" s="3"/>
      <c r="R325" s="3"/>
      <c r="S325" s="3"/>
      <c r="T325" s="3"/>
      <c r="U325" s="11"/>
    </row>
    <row r="326" spans="2:21" x14ac:dyDescent="0.25">
      <c r="B326" s="10"/>
      <c r="C326" s="3"/>
      <c r="D326" s="124" t="s">
        <v>18</v>
      </c>
      <c r="E326" s="165">
        <f>G313-G314</f>
        <v>2.4733648417466298</v>
      </c>
      <c r="F326" s="165">
        <f>I313-I314</f>
        <v>-0.47340203071030568</v>
      </c>
      <c r="G326" s="172">
        <f t="shared" si="36"/>
        <v>2.5182619250326153</v>
      </c>
      <c r="H326" s="653"/>
      <c r="I326" s="653">
        <f>M313-M314</f>
        <v>1.9050383529589738</v>
      </c>
      <c r="J326" s="165">
        <f>O313-O314</f>
        <v>-0.32461853534420965</v>
      </c>
      <c r="K326" s="172">
        <f t="shared" si="37"/>
        <v>1.9324979481835574</v>
      </c>
      <c r="L326" s="3"/>
      <c r="M326" s="82"/>
      <c r="N326" s="3"/>
      <c r="O326" s="3"/>
      <c r="P326" s="3"/>
      <c r="Q326" s="3"/>
      <c r="R326" s="3"/>
      <c r="S326" s="3"/>
      <c r="T326" s="3"/>
      <c r="U326" s="11"/>
    </row>
    <row r="327" spans="2:21" x14ac:dyDescent="0.25">
      <c r="B327" s="10"/>
      <c r="C327" s="3"/>
      <c r="D327" s="230" t="s">
        <v>19</v>
      </c>
      <c r="E327" s="165">
        <f>G314-G315</f>
        <v>2.4733648417466298</v>
      </c>
      <c r="F327" s="165">
        <f>I314-I315</f>
        <v>-0.4734020307103054</v>
      </c>
      <c r="G327" s="172">
        <f t="shared" si="36"/>
        <v>2.5182619250326153</v>
      </c>
      <c r="H327" s="653"/>
      <c r="I327" s="653">
        <f>M314-M315</f>
        <v>1.9050383529589736</v>
      </c>
      <c r="J327" s="165">
        <f>O314-O315</f>
        <v>-0.32461853534420937</v>
      </c>
      <c r="K327" s="172">
        <f t="shared" si="37"/>
        <v>1.9324979481835574</v>
      </c>
      <c r="L327" s="3"/>
      <c r="M327" s="82"/>
      <c r="N327" s="3"/>
      <c r="O327" s="3"/>
      <c r="P327" s="3"/>
      <c r="Q327" s="3"/>
      <c r="R327" s="3"/>
      <c r="S327" s="3"/>
      <c r="T327" s="3"/>
      <c r="U327" s="11"/>
    </row>
    <row r="328" spans="2:21" x14ac:dyDescent="0.25">
      <c r="B328" s="10"/>
      <c r="C328" s="3"/>
      <c r="D328" s="124" t="s">
        <v>16</v>
      </c>
      <c r="E328" s="165">
        <f>G315-G316</f>
        <v>2.4733648417466298</v>
      </c>
      <c r="F328" s="165">
        <f>I315-I316</f>
        <v>1.4372332694084642</v>
      </c>
      <c r="G328" s="172">
        <f t="shared" si="36"/>
        <v>2.860624601565692</v>
      </c>
      <c r="H328" s="653"/>
      <c r="I328" s="653">
        <f>M315-M316</f>
        <v>1.9050383529589736</v>
      </c>
      <c r="J328" s="165">
        <f>O315-O316</f>
        <v>0.98553138473723256</v>
      </c>
      <c r="K328" s="172">
        <f t="shared" si="37"/>
        <v>2.1448643865164825</v>
      </c>
      <c r="L328" s="3"/>
      <c r="M328" s="82"/>
      <c r="N328" s="3"/>
      <c r="O328" s="3"/>
      <c r="P328" s="3"/>
      <c r="Q328" s="3"/>
      <c r="R328" s="3"/>
      <c r="S328" s="3"/>
      <c r="T328" s="3"/>
      <c r="U328" s="11"/>
    </row>
    <row r="329" spans="2:21" x14ac:dyDescent="0.25">
      <c r="B329" s="10"/>
      <c r="C329" s="3"/>
      <c r="D329" s="125" t="s">
        <v>30</v>
      </c>
      <c r="E329" s="173">
        <f>G316-G317</f>
        <v>0</v>
      </c>
      <c r="F329" s="173">
        <f>I316-H317</f>
        <v>0</v>
      </c>
      <c r="G329" s="180">
        <f t="shared" si="36"/>
        <v>0</v>
      </c>
      <c r="H329" s="807"/>
      <c r="I329" s="807">
        <f>M316-J317</f>
        <v>0</v>
      </c>
      <c r="J329" s="173">
        <f>O316-K317</f>
        <v>0</v>
      </c>
      <c r="K329" s="180">
        <f t="shared" si="37"/>
        <v>0</v>
      </c>
      <c r="L329" s="3"/>
      <c r="M329" s="82"/>
      <c r="N329" s="3"/>
      <c r="O329" s="3"/>
      <c r="P329" s="3"/>
      <c r="Q329" s="3"/>
      <c r="R329" s="3"/>
      <c r="S329" s="3"/>
      <c r="T329" s="3"/>
      <c r="U329" s="11"/>
    </row>
    <row r="330" spans="2:21" x14ac:dyDescent="0.25">
      <c r="B330" s="10"/>
      <c r="C330" s="3"/>
      <c r="D330" s="3"/>
      <c r="E330" s="3"/>
      <c r="F330" s="3"/>
      <c r="G330" s="3"/>
      <c r="H330" s="82"/>
      <c r="I330" s="82"/>
      <c r="J330" s="3"/>
      <c r="K330" s="3"/>
      <c r="L330" s="3"/>
      <c r="M330" s="82"/>
      <c r="N330" s="3"/>
      <c r="O330" s="3"/>
      <c r="P330" s="3"/>
      <c r="Q330" s="3"/>
      <c r="R330" s="3"/>
      <c r="S330" s="3"/>
      <c r="T330" s="3"/>
      <c r="U330" s="11"/>
    </row>
    <row r="331" spans="2:21" x14ac:dyDescent="0.25">
      <c r="B331" s="10"/>
      <c r="C331" s="3"/>
      <c r="D331" s="3"/>
      <c r="E331" s="3"/>
      <c r="F331" s="3"/>
      <c r="G331" s="3"/>
      <c r="H331" s="82"/>
      <c r="I331" s="82"/>
      <c r="J331" s="3"/>
      <c r="K331" s="3"/>
      <c r="L331" s="3"/>
      <c r="M331" s="82"/>
      <c r="N331" s="3"/>
      <c r="O331" s="3"/>
      <c r="P331" s="3"/>
      <c r="Q331" s="3"/>
      <c r="R331" s="3"/>
      <c r="S331" s="3"/>
      <c r="T331" s="3"/>
      <c r="U331" s="11"/>
    </row>
    <row r="332" spans="2:21" x14ac:dyDescent="0.25">
      <c r="B332" s="10"/>
      <c r="C332" s="3"/>
      <c r="D332" s="270" t="s">
        <v>425</v>
      </c>
      <c r="E332" s="270"/>
      <c r="F332" s="270"/>
      <c r="G332" s="270"/>
      <c r="H332" s="270"/>
      <c r="I332" s="270"/>
      <c r="J332" s="270"/>
      <c r="K332" s="270"/>
      <c r="L332" s="3"/>
      <c r="M332" s="3"/>
      <c r="N332" s="3"/>
      <c r="O332" s="3"/>
      <c r="P332" s="3"/>
      <c r="Q332" s="3"/>
      <c r="R332" s="3"/>
      <c r="S332" s="3"/>
      <c r="T332" s="3"/>
      <c r="U332" s="11"/>
    </row>
    <row r="333" spans="2:21" x14ac:dyDescent="0.25">
      <c r="B333" s="10"/>
      <c r="C333" s="3"/>
      <c r="D333" s="251" t="s">
        <v>133</v>
      </c>
      <c r="E333" s="799" t="s">
        <v>12</v>
      </c>
      <c r="F333" s="799"/>
      <c r="G333" s="799"/>
      <c r="H333" s="812"/>
      <c r="I333" s="799" t="s">
        <v>13</v>
      </c>
      <c r="J333" s="799"/>
      <c r="K333" s="799"/>
      <c r="L333" s="3"/>
      <c r="M333" s="3"/>
      <c r="N333" s="3"/>
      <c r="O333" s="3"/>
      <c r="P333" s="3"/>
      <c r="Q333" s="3"/>
      <c r="R333" s="3"/>
      <c r="S333" s="3"/>
      <c r="T333" s="3"/>
      <c r="U333" s="11"/>
    </row>
    <row r="334" spans="2:21" ht="15.75" x14ac:dyDescent="0.25">
      <c r="B334" s="10"/>
      <c r="C334" s="3"/>
      <c r="D334" s="801"/>
      <c r="E334" s="802" t="s">
        <v>429</v>
      </c>
      <c r="F334" s="802" t="s">
        <v>430</v>
      </c>
      <c r="G334" s="813" t="s">
        <v>431</v>
      </c>
      <c r="H334" s="802"/>
      <c r="I334" s="813" t="s">
        <v>429</v>
      </c>
      <c r="J334" s="813" t="s">
        <v>430</v>
      </c>
      <c r="K334" s="813" t="s">
        <v>431</v>
      </c>
      <c r="L334" s="3"/>
      <c r="M334" s="3"/>
      <c r="N334" s="3"/>
      <c r="O334" s="3"/>
      <c r="P334" s="3"/>
      <c r="Q334" s="3"/>
      <c r="R334" s="3"/>
      <c r="S334" s="3"/>
      <c r="T334" s="3"/>
      <c r="U334" s="11"/>
    </row>
    <row r="335" spans="2:21" ht="12" customHeight="1" x14ac:dyDescent="0.25">
      <c r="B335" s="10"/>
      <c r="C335" s="3"/>
      <c r="D335" s="252"/>
      <c r="E335" s="814" t="s">
        <v>426</v>
      </c>
      <c r="F335" s="814" t="s">
        <v>427</v>
      </c>
      <c r="G335" s="814" t="s">
        <v>428</v>
      </c>
      <c r="H335" s="814"/>
      <c r="I335" s="814" t="s">
        <v>426</v>
      </c>
      <c r="J335" s="814" t="s">
        <v>427</v>
      </c>
      <c r="K335" s="814" t="s">
        <v>428</v>
      </c>
      <c r="L335" s="3"/>
      <c r="M335" s="3"/>
      <c r="N335" s="3"/>
      <c r="O335" s="3"/>
      <c r="P335" s="3"/>
      <c r="Q335" s="3"/>
      <c r="R335" s="3"/>
      <c r="S335" s="3"/>
      <c r="T335" s="3"/>
      <c r="U335" s="11"/>
    </row>
    <row r="336" spans="2:21" x14ac:dyDescent="0.25">
      <c r="B336" s="10"/>
      <c r="C336" s="3"/>
      <c r="D336" s="124" t="s">
        <v>14</v>
      </c>
      <c r="E336" s="620">
        <f>2*PI()*E323/$D$200</f>
        <v>3.8982656315950428</v>
      </c>
      <c r="F336" s="620">
        <f>2*PI()*F323/$G$102</f>
        <v>-2.2845412317572724</v>
      </c>
      <c r="G336" s="815">
        <f t="shared" ref="G336:G342" si="38">SQRT(E336^2+F336^2)</f>
        <v>4.5183629307608895</v>
      </c>
      <c r="H336" s="815"/>
      <c r="I336" s="620">
        <f>2*PI()*I323/$E$200</f>
        <v>4.3786856918268251</v>
      </c>
      <c r="J336" s="620">
        <f>2*PI()*J323/$G$103</f>
        <v>-2.284541231757272</v>
      </c>
      <c r="K336" s="815">
        <f>SQRT(I336^2+J336^2)</f>
        <v>4.938827495206529</v>
      </c>
      <c r="L336" s="3"/>
      <c r="M336" s="3"/>
      <c r="N336" s="3"/>
      <c r="O336" s="3"/>
      <c r="P336" s="3"/>
      <c r="Q336" s="3"/>
      <c r="R336" s="3"/>
      <c r="S336" s="3"/>
      <c r="T336" s="3"/>
      <c r="U336" s="11"/>
    </row>
    <row r="337" spans="2:21" x14ac:dyDescent="0.25">
      <c r="B337" s="10"/>
      <c r="C337" s="3"/>
      <c r="D337" s="124" t="s">
        <v>147</v>
      </c>
      <c r="E337" s="620">
        <f>2*PI()*E324/$D$200</f>
        <v>3.8982656315950428</v>
      </c>
      <c r="F337" s="620">
        <f>2*PI()*F324/$G$102</f>
        <v>-2.2845412317572755</v>
      </c>
      <c r="G337" s="815">
        <f t="shared" si="38"/>
        <v>4.5183629307608912</v>
      </c>
      <c r="H337" s="815"/>
      <c r="I337" s="620">
        <f>2*PI()*I324/$E$200</f>
        <v>4.3786856918268269</v>
      </c>
      <c r="J337" s="620">
        <f>2*PI()*J324/$G$103</f>
        <v>-2.2845412317572755</v>
      </c>
      <c r="K337" s="815">
        <f t="shared" ref="K337:K342" si="39">SQRT(I337^2+J337^2)</f>
        <v>4.9388274952065316</v>
      </c>
      <c r="L337" s="3"/>
      <c r="M337" s="3"/>
      <c r="N337" s="3"/>
      <c r="O337" s="3"/>
      <c r="P337" s="3"/>
      <c r="Q337" s="3"/>
      <c r="R337" s="3"/>
      <c r="S337" s="3"/>
      <c r="T337" s="3"/>
      <c r="U337" s="11"/>
    </row>
    <row r="338" spans="2:21" x14ac:dyDescent="0.25">
      <c r="B338" s="10"/>
      <c r="C338" s="3"/>
      <c r="D338" s="230" t="s">
        <v>17</v>
      </c>
      <c r="E338" s="620">
        <f>2*PI()*E325/$D$200</f>
        <v>3.8982656315950428</v>
      </c>
      <c r="F338" s="620">
        <f>2*PI()*F325/$G$102</f>
        <v>-2.2845412317572737</v>
      </c>
      <c r="G338" s="815">
        <f t="shared" si="38"/>
        <v>4.5183629307608904</v>
      </c>
      <c r="H338" s="815"/>
      <c r="I338" s="620">
        <f>2*PI()*I325/$E$200</f>
        <v>4.3786856918268251</v>
      </c>
      <c r="J338" s="620">
        <f>2*PI()*J325/$G$103</f>
        <v>-2.2845412317572729</v>
      </c>
      <c r="K338" s="815">
        <f t="shared" si="39"/>
        <v>4.938827495206529</v>
      </c>
      <c r="L338" s="3"/>
      <c r="M338" s="3"/>
      <c r="N338" s="3"/>
      <c r="O338" s="3"/>
      <c r="P338" s="3"/>
      <c r="Q338" s="3"/>
      <c r="R338" s="3"/>
      <c r="S338" s="3"/>
      <c r="T338" s="3"/>
      <c r="U338" s="11"/>
    </row>
    <row r="339" spans="2:21" x14ac:dyDescent="0.25">
      <c r="B339" s="10"/>
      <c r="C339" s="3"/>
      <c r="D339" s="124" t="s">
        <v>18</v>
      </c>
      <c r="E339" s="620">
        <f>2*PI()*E326/$D$200</f>
        <v>3.8982656315950428</v>
      </c>
      <c r="F339" s="620">
        <f>2*PI()*F326/$G$102</f>
        <v>-2.2845412317572751</v>
      </c>
      <c r="G339" s="815">
        <f t="shared" si="38"/>
        <v>4.5183629307608912</v>
      </c>
      <c r="H339" s="815"/>
      <c r="I339" s="620">
        <f>2*PI()*I326/$E$200</f>
        <v>4.378685691826826</v>
      </c>
      <c r="J339" s="620">
        <f>2*PI()*J326/$G$103</f>
        <v>-2.2845412317572751</v>
      </c>
      <c r="K339" s="815">
        <f t="shared" si="39"/>
        <v>4.9388274952065316</v>
      </c>
      <c r="L339" s="3"/>
      <c r="M339" s="3"/>
      <c r="N339" s="3"/>
      <c r="O339" s="3"/>
      <c r="P339" s="3"/>
      <c r="Q339" s="3"/>
      <c r="R339" s="3"/>
      <c r="S339" s="3"/>
      <c r="T339" s="3"/>
      <c r="U339" s="11"/>
    </row>
    <row r="340" spans="2:21" x14ac:dyDescent="0.25">
      <c r="B340" s="10"/>
      <c r="C340" s="3"/>
      <c r="D340" s="230" t="s">
        <v>19</v>
      </c>
      <c r="E340" s="620">
        <f>2*PI()*E327/$D$200</f>
        <v>3.8982656315950428</v>
      </c>
      <c r="F340" s="620">
        <f>2*PI()*F327/$G$102</f>
        <v>-2.2845412317572737</v>
      </c>
      <c r="G340" s="815">
        <f t="shared" si="38"/>
        <v>4.5183629307608904</v>
      </c>
      <c r="H340" s="815"/>
      <c r="I340" s="620">
        <f>2*PI()*I327/$E$200</f>
        <v>4.378685691826826</v>
      </c>
      <c r="J340" s="620">
        <f>2*PI()*J327/$G$103</f>
        <v>-2.2845412317572729</v>
      </c>
      <c r="K340" s="815">
        <f t="shared" si="39"/>
        <v>4.9388274952065299</v>
      </c>
      <c r="L340" s="3"/>
      <c r="M340" s="3"/>
      <c r="N340" s="3"/>
      <c r="O340" s="3"/>
      <c r="P340" s="3"/>
      <c r="Q340" s="3"/>
      <c r="R340" s="3"/>
      <c r="S340" s="3"/>
      <c r="T340" s="3"/>
      <c r="U340" s="11"/>
    </row>
    <row r="341" spans="2:21" x14ac:dyDescent="0.25">
      <c r="B341" s="10"/>
      <c r="C341" s="3"/>
      <c r="D341" s="124" t="s">
        <v>16</v>
      </c>
      <c r="E341" s="620">
        <f>2*PI()*E328/$D$200</f>
        <v>3.8982656315950428</v>
      </c>
      <c r="F341" s="620">
        <f>2*PI()*F328/$G$102</f>
        <v>6.9357933650821355</v>
      </c>
      <c r="G341" s="815">
        <f t="shared" si="38"/>
        <v>7.9562368326736275</v>
      </c>
      <c r="H341" s="815"/>
      <c r="I341" s="620">
        <f>2*PI()*I328/$E$200</f>
        <v>4.378685691826826</v>
      </c>
      <c r="J341" s="620">
        <f>2*PI()*J328/$G$103</f>
        <v>6.9357933650821355</v>
      </c>
      <c r="K341" s="815">
        <f t="shared" si="39"/>
        <v>8.2023239384290569</v>
      </c>
      <c r="L341" s="3"/>
      <c r="M341" s="3"/>
      <c r="N341" s="3"/>
      <c r="O341" s="3"/>
      <c r="P341" s="3"/>
      <c r="Q341" s="3"/>
      <c r="R341" s="3"/>
      <c r="S341" s="3"/>
      <c r="T341" s="3"/>
      <c r="U341" s="11"/>
    </row>
    <row r="342" spans="2:21" x14ac:dyDescent="0.25">
      <c r="B342" s="10"/>
      <c r="C342" s="3"/>
      <c r="D342" s="125" t="s">
        <v>30</v>
      </c>
      <c r="E342" s="622">
        <f>2*PI()*E329/$D$200</f>
        <v>0</v>
      </c>
      <c r="F342" s="622">
        <f>2*PI()*F329/$G$102</f>
        <v>0</v>
      </c>
      <c r="G342" s="816">
        <f t="shared" si="38"/>
        <v>0</v>
      </c>
      <c r="H342" s="816"/>
      <c r="I342" s="622">
        <f>2*PI()*I329/$E$200</f>
        <v>0</v>
      </c>
      <c r="J342" s="622">
        <f>2*PI()*J329/$G$103</f>
        <v>0</v>
      </c>
      <c r="K342" s="816">
        <f t="shared" si="39"/>
        <v>0</v>
      </c>
      <c r="L342" s="3"/>
      <c r="M342" s="3"/>
      <c r="N342" s="3"/>
      <c r="O342" s="3"/>
      <c r="P342" s="3"/>
      <c r="Q342" s="3"/>
      <c r="R342" s="3"/>
      <c r="S342" s="3"/>
      <c r="T342" s="3"/>
      <c r="U342" s="11"/>
    </row>
    <row r="343" spans="2:21" x14ac:dyDescent="0.25">
      <c r="B343" s="10"/>
      <c r="C343" s="3"/>
      <c r="D343" s="3"/>
      <c r="E343" s="3"/>
      <c r="F343" s="3"/>
      <c r="G343" s="3"/>
      <c r="H343" s="82"/>
      <c r="I343" s="8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11"/>
    </row>
    <row r="344" spans="2:21" ht="15.75" thickBot="1" x14ac:dyDescent="0.3">
      <c r="B344" s="23"/>
      <c r="C344" s="24"/>
      <c r="D344" s="24"/>
      <c r="E344" s="24"/>
      <c r="F344" s="24"/>
      <c r="G344" s="24"/>
      <c r="H344" s="208"/>
      <c r="I344" s="208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5"/>
    </row>
    <row r="345" spans="2:21" x14ac:dyDescent="0.25">
      <c r="B345" s="7"/>
      <c r="C345" s="8"/>
      <c r="D345" s="8"/>
      <c r="E345" s="8"/>
      <c r="F345" s="8"/>
      <c r="G345" s="8"/>
      <c r="H345" s="220"/>
      <c r="I345" s="220"/>
      <c r="J345" s="8"/>
      <c r="K345" s="8"/>
      <c r="L345" s="8"/>
      <c r="M345" s="220"/>
      <c r="N345" s="8"/>
      <c r="O345" s="8"/>
      <c r="P345" s="8"/>
      <c r="Q345" s="8"/>
      <c r="R345" s="8"/>
      <c r="S345" s="8"/>
      <c r="T345" s="8"/>
      <c r="U345" s="9"/>
    </row>
    <row r="346" spans="2:21" x14ac:dyDescent="0.25">
      <c r="B346" s="10"/>
      <c r="C346" s="733" t="s">
        <v>503</v>
      </c>
      <c r="D346" s="733"/>
      <c r="E346" s="733"/>
      <c r="F346" s="733"/>
      <c r="G346" s="733"/>
      <c r="H346" s="733"/>
      <c r="I346" s="733"/>
      <c r="J346" s="733"/>
      <c r="K346" s="733"/>
      <c r="L346" s="733"/>
      <c r="M346" s="733"/>
      <c r="N346" s="733"/>
      <c r="O346" s="3"/>
      <c r="P346" s="3"/>
      <c r="Q346" s="3"/>
      <c r="R346" s="3"/>
      <c r="S346" s="3"/>
      <c r="T346" s="3"/>
      <c r="U346" s="11"/>
    </row>
    <row r="347" spans="2:21" x14ac:dyDescent="0.25">
      <c r="B347" s="10"/>
      <c r="C347" s="733"/>
      <c r="D347" s="733"/>
      <c r="E347" s="733"/>
      <c r="F347" s="733"/>
      <c r="G347" s="733"/>
      <c r="H347" s="733"/>
      <c r="I347" s="733"/>
      <c r="J347" s="733"/>
      <c r="K347" s="733"/>
      <c r="L347" s="733"/>
      <c r="M347" s="733"/>
      <c r="N347" s="733"/>
      <c r="O347" s="3"/>
      <c r="P347" s="3"/>
      <c r="Q347" s="3"/>
      <c r="R347" s="3"/>
      <c r="S347" s="3"/>
      <c r="T347" s="3"/>
      <c r="U347" s="11"/>
    </row>
    <row r="348" spans="2:21" x14ac:dyDescent="0.25">
      <c r="B348" s="10"/>
      <c r="C348" s="3"/>
      <c r="D348" s="3"/>
      <c r="E348" s="3"/>
      <c r="F348" s="3"/>
      <c r="G348" s="3"/>
      <c r="H348" s="82"/>
      <c r="I348" s="82"/>
      <c r="J348" s="3"/>
      <c r="K348" s="3"/>
      <c r="L348" s="3"/>
      <c r="M348" s="82"/>
      <c r="N348" s="3"/>
      <c r="O348" s="3"/>
      <c r="P348" s="3"/>
      <c r="Q348" s="3"/>
      <c r="R348" s="3"/>
      <c r="S348" s="3"/>
      <c r="T348" s="3"/>
      <c r="U348" s="11"/>
    </row>
    <row r="349" spans="2:21" x14ac:dyDescent="0.25">
      <c r="B349" s="10"/>
      <c r="C349" s="3"/>
      <c r="D349" s="270" t="s">
        <v>203</v>
      </c>
      <c r="E349" s="270"/>
      <c r="F349" s="270"/>
      <c r="G349" s="270"/>
      <c r="H349" s="270"/>
      <c r="I349" s="270"/>
      <c r="J349" s="270"/>
      <c r="K349" s="270"/>
      <c r="L349" s="3"/>
      <c r="M349" s="82"/>
      <c r="N349" s="3"/>
      <c r="O349" s="3"/>
      <c r="P349" s="3"/>
      <c r="Q349" s="3"/>
      <c r="R349" s="3"/>
      <c r="S349" s="3"/>
      <c r="T349" s="3"/>
      <c r="U349" s="11"/>
    </row>
    <row r="350" spans="2:21" x14ac:dyDescent="0.25">
      <c r="B350" s="10"/>
      <c r="C350" s="3"/>
      <c r="D350" s="125"/>
      <c r="E350" s="269" t="s">
        <v>12</v>
      </c>
      <c r="F350" s="269"/>
      <c r="G350" s="269" t="s">
        <v>13</v>
      </c>
      <c r="H350" s="269"/>
      <c r="I350" s="613"/>
      <c r="J350" s="137"/>
      <c r="K350" s="137"/>
      <c r="L350" s="3"/>
      <c r="M350" s="82"/>
      <c r="N350" s="3"/>
      <c r="O350" s="3"/>
      <c r="P350" s="3"/>
      <c r="Q350" s="3"/>
      <c r="R350" s="3"/>
      <c r="S350" s="3"/>
      <c r="T350" s="3"/>
      <c r="U350" s="11"/>
    </row>
    <row r="351" spans="2:21" x14ac:dyDescent="0.25">
      <c r="B351" s="10"/>
      <c r="C351" s="3"/>
      <c r="D351" s="230" t="s">
        <v>399</v>
      </c>
      <c r="E351" s="188">
        <f>($F$16/(4*(PI()^2)))*($D$104*$P$9)*MAX(((D201^2)/M237),((D199^2)/M239))</f>
        <v>195.94654246719827</v>
      </c>
      <c r="F351" s="792" t="s">
        <v>51</v>
      </c>
      <c r="G351" s="188">
        <f>($F$16/(4*(PI()^2)))*($D$104*$P$9)*MAX(((E201^2)/Q237),((E199^2)/Q239))</f>
        <v>103.98228629280644</v>
      </c>
      <c r="H351" s="793" t="s">
        <v>51</v>
      </c>
      <c r="I351" s="186" t="s">
        <v>152</v>
      </c>
      <c r="J351" s="603"/>
      <c r="K351" s="603" t="s">
        <v>402</v>
      </c>
      <c r="L351" s="3"/>
      <c r="M351" s="82"/>
      <c r="N351" s="3"/>
      <c r="O351" s="3"/>
      <c r="P351" s="3"/>
      <c r="Q351" s="3"/>
      <c r="R351" s="3"/>
      <c r="S351" s="3"/>
      <c r="T351" s="3"/>
      <c r="U351" s="11"/>
    </row>
    <row r="352" spans="2:21" x14ac:dyDescent="0.25">
      <c r="B352" s="10"/>
      <c r="C352" s="3"/>
      <c r="D352" s="230" t="s">
        <v>400</v>
      </c>
      <c r="E352" s="188">
        <f>($F$16/(4*(PI()^2)))*($D$104*$P$8)*MAX(((D201)/M237),((D199)/M239))</f>
        <v>22.843774150461034</v>
      </c>
      <c r="F352" s="792" t="s">
        <v>51</v>
      </c>
      <c r="G352" s="188">
        <f>($F$16/(4*(PI()^2)))*($D$104*$P$8)*MAX(((E201)/Q237),((E199)/Q239))</f>
        <v>17.678540913815823</v>
      </c>
      <c r="H352" s="793" t="s">
        <v>51</v>
      </c>
      <c r="I352" s="186" t="s">
        <v>153</v>
      </c>
      <c r="J352" s="603"/>
      <c r="K352" s="603" t="s">
        <v>403</v>
      </c>
      <c r="L352" s="3"/>
      <c r="M352" s="82"/>
      <c r="N352" s="3"/>
      <c r="O352" s="3"/>
      <c r="P352" s="3"/>
      <c r="Q352" s="3"/>
      <c r="R352" s="3"/>
      <c r="S352" s="3"/>
      <c r="T352" s="3"/>
      <c r="U352" s="11"/>
    </row>
    <row r="353" spans="2:21" x14ac:dyDescent="0.25">
      <c r="B353" s="10"/>
      <c r="C353" s="3"/>
      <c r="D353" s="795" t="s">
        <v>398</v>
      </c>
      <c r="E353" s="796">
        <f>IF(E275&lt;N51,E351,E352)</f>
        <v>22.843774150461034</v>
      </c>
      <c r="F353" s="141" t="s">
        <v>479</v>
      </c>
      <c r="G353" s="796">
        <f>IF(G275&lt;P51,G351,G352)</f>
        <v>17.678540913815823</v>
      </c>
      <c r="H353" s="612" t="s">
        <v>479</v>
      </c>
      <c r="I353" s="187"/>
      <c r="J353" s="496"/>
      <c r="K353" s="496"/>
      <c r="L353" s="3"/>
      <c r="M353" s="82"/>
      <c r="N353" s="3"/>
      <c r="O353" s="3"/>
      <c r="P353" s="3"/>
      <c r="Q353" s="3"/>
      <c r="R353" s="3"/>
      <c r="S353" s="3"/>
      <c r="T353" s="3"/>
      <c r="U353" s="11"/>
    </row>
    <row r="354" spans="2:21" x14ac:dyDescent="0.25">
      <c r="B354" s="10"/>
      <c r="C354" s="3"/>
      <c r="D354" s="767" t="s">
        <v>401</v>
      </c>
      <c r="E354" s="796">
        <f>($F$16/(4*(PI()^2)))*($G$104/M238)*MIN((($P$8*G102)),($P$9*(G102^2)))</f>
        <v>-1.3946653262145949</v>
      </c>
      <c r="F354" s="141" t="s">
        <v>479</v>
      </c>
      <c r="G354" s="796">
        <f>($F$16/(4*(PI()^2)))*($G$104/Q238)*MIN((($P$8*G103)),($P$9*(G103^2)))</f>
        <v>-0.95634193797572231</v>
      </c>
      <c r="H354" s="612" t="s">
        <v>479</v>
      </c>
      <c r="I354" s="187" t="s">
        <v>154</v>
      </c>
      <c r="J354" s="496"/>
      <c r="K354" s="496" t="s">
        <v>404</v>
      </c>
      <c r="L354" s="3"/>
      <c r="M354" s="82"/>
      <c r="N354" s="3"/>
      <c r="O354" s="3"/>
      <c r="P354" s="3"/>
      <c r="Q354" s="3"/>
      <c r="R354" s="3"/>
      <c r="S354" s="3"/>
      <c r="T354" s="3"/>
      <c r="U354" s="11"/>
    </row>
    <row r="355" spans="2:21" x14ac:dyDescent="0.25">
      <c r="B355" s="10"/>
      <c r="C355" s="3"/>
      <c r="D355" s="3"/>
      <c r="E355" s="3"/>
      <c r="F355" s="3"/>
      <c r="G355" s="3"/>
      <c r="H355" s="82"/>
      <c r="I355" s="82"/>
      <c r="J355" s="3"/>
      <c r="K355" s="3"/>
      <c r="L355" s="3"/>
      <c r="M355" s="82"/>
      <c r="N355" s="3"/>
      <c r="O355" s="3"/>
      <c r="P355" s="3"/>
      <c r="Q355" s="3"/>
      <c r="R355" s="3"/>
      <c r="S355" s="3"/>
      <c r="T355" s="3"/>
      <c r="U355" s="11"/>
    </row>
    <row r="356" spans="2:21" x14ac:dyDescent="0.25">
      <c r="B356" s="10"/>
      <c r="C356" s="3"/>
      <c r="D356" s="3"/>
      <c r="E356" s="3"/>
      <c r="F356" s="3"/>
      <c r="G356" s="3"/>
      <c r="H356" s="82"/>
      <c r="I356" s="82"/>
      <c r="J356" s="3"/>
      <c r="K356" s="3"/>
      <c r="L356" s="3"/>
      <c r="M356" s="82"/>
      <c r="N356" s="3"/>
      <c r="O356" s="3"/>
      <c r="P356" s="3"/>
      <c r="Q356" s="3"/>
      <c r="R356" s="3"/>
      <c r="S356" s="3"/>
      <c r="T356" s="3"/>
      <c r="U356" s="11"/>
    </row>
    <row r="357" spans="2:21" x14ac:dyDescent="0.25">
      <c r="B357" s="10"/>
      <c r="C357" s="3"/>
      <c r="D357" s="270" t="s">
        <v>413</v>
      </c>
      <c r="E357" s="270"/>
      <c r="F357" s="270"/>
      <c r="G357" s="270"/>
      <c r="H357" s="270"/>
      <c r="I357" s="270"/>
      <c r="J357" s="270"/>
      <c r="K357" s="270"/>
      <c r="L357" s="270"/>
      <c r="M357" s="270"/>
      <c r="N357" s="270"/>
      <c r="O357" s="270"/>
      <c r="P357" s="270"/>
      <c r="Q357" s="270"/>
      <c r="R357" s="3"/>
      <c r="S357" s="3"/>
      <c r="T357" s="3"/>
      <c r="U357" s="11"/>
    </row>
    <row r="358" spans="2:21" x14ac:dyDescent="0.25">
      <c r="B358" s="10"/>
      <c r="C358" s="3"/>
      <c r="D358" s="251" t="s">
        <v>22</v>
      </c>
      <c r="E358" s="251" t="s">
        <v>414</v>
      </c>
      <c r="F358" s="251" t="s">
        <v>415</v>
      </c>
      <c r="G358" s="799" t="s">
        <v>12</v>
      </c>
      <c r="H358" s="799"/>
      <c r="I358" s="799"/>
      <c r="J358" s="799"/>
      <c r="K358" s="799"/>
      <c r="L358" s="800"/>
      <c r="M358" s="799" t="s">
        <v>13</v>
      </c>
      <c r="N358" s="799"/>
      <c r="O358" s="799"/>
      <c r="P358" s="799"/>
      <c r="Q358" s="799"/>
      <c r="R358" s="3"/>
      <c r="S358" s="3"/>
      <c r="T358" s="3"/>
      <c r="U358" s="11"/>
    </row>
    <row r="359" spans="2:21" x14ac:dyDescent="0.25">
      <c r="B359" s="10"/>
      <c r="C359" s="3"/>
      <c r="D359" s="801"/>
      <c r="E359" s="801"/>
      <c r="F359" s="801"/>
      <c r="G359" s="201" t="s">
        <v>416</v>
      </c>
      <c r="H359" s="201" t="s">
        <v>417</v>
      </c>
      <c r="I359" s="201" t="s">
        <v>418</v>
      </c>
      <c r="J359" s="201" t="s">
        <v>419</v>
      </c>
      <c r="K359" s="802" t="s">
        <v>420</v>
      </c>
      <c r="L359" s="201"/>
      <c r="M359" s="201" t="s">
        <v>416</v>
      </c>
      <c r="N359" s="201" t="s">
        <v>417</v>
      </c>
      <c r="O359" s="201" t="s">
        <v>418</v>
      </c>
      <c r="P359" s="201" t="s">
        <v>419</v>
      </c>
      <c r="Q359" s="802" t="s">
        <v>420</v>
      </c>
      <c r="R359" s="3"/>
      <c r="S359" s="3"/>
      <c r="T359" s="3"/>
      <c r="U359" s="11"/>
    </row>
    <row r="360" spans="2:21" x14ac:dyDescent="0.25">
      <c r="B360" s="10"/>
      <c r="C360" s="3"/>
      <c r="D360" s="252"/>
      <c r="E360" s="252"/>
      <c r="F360" s="252"/>
      <c r="G360" s="616" t="s">
        <v>409</v>
      </c>
      <c r="H360" s="616"/>
      <c r="I360" s="616" t="s">
        <v>410</v>
      </c>
      <c r="J360" s="616"/>
      <c r="K360" s="804" t="s">
        <v>411</v>
      </c>
      <c r="L360" s="805"/>
      <c r="M360" s="616" t="s">
        <v>409</v>
      </c>
      <c r="N360" s="616"/>
      <c r="O360" s="616" t="s">
        <v>410</v>
      </c>
      <c r="P360" s="616"/>
      <c r="Q360" s="804" t="s">
        <v>411</v>
      </c>
      <c r="R360" s="3"/>
      <c r="S360" s="3"/>
      <c r="T360" s="3"/>
      <c r="U360" s="11"/>
    </row>
    <row r="361" spans="2:21" x14ac:dyDescent="0.25">
      <c r="B361" s="10"/>
      <c r="C361" s="3"/>
      <c r="D361" s="181" t="s">
        <v>14</v>
      </c>
      <c r="E361" s="817">
        <f>F32</f>
        <v>1</v>
      </c>
      <c r="F361" s="817">
        <f>F111</f>
        <v>1</v>
      </c>
      <c r="G361" s="817">
        <f>E361*$E$353</f>
        <v>22.843774150461034</v>
      </c>
      <c r="H361" s="817">
        <f t="shared" ref="H361:H367" si="40">G361-G362</f>
        <v>3.807295691743505</v>
      </c>
      <c r="I361" s="817">
        <f t="shared" ref="I361:I367" si="41">F361*$E$354</f>
        <v>-1.3946653262145949</v>
      </c>
      <c r="J361" s="817">
        <f t="shared" ref="J361:J367" si="42">I361-I362</f>
        <v>-0.71010304606545771</v>
      </c>
      <c r="K361" s="818">
        <f t="shared" ref="K361:K367" si="43">SQRT(G361^2+I361^2)</f>
        <v>22.886308326364411</v>
      </c>
      <c r="L361" s="817"/>
      <c r="M361" s="817">
        <f t="shared" ref="M361:M367" si="44">E361*$G$353</f>
        <v>17.678540913815823</v>
      </c>
      <c r="N361" s="817">
        <f t="shared" ref="N361:N367" si="45">M361-M362</f>
        <v>2.9464234856359699</v>
      </c>
      <c r="O361" s="817">
        <f t="shared" ref="O361:O367" si="46">F361*$G$354</f>
        <v>-0.95634193797572231</v>
      </c>
      <c r="P361" s="817">
        <f t="shared" ref="P361:P367" si="47">O361-O362</f>
        <v>-0.48692780301631394</v>
      </c>
      <c r="Q361" s="818">
        <f t="shared" ref="Q361:Q367" si="48">SQRT(M361^2+O361^2)</f>
        <v>17.704389250798549</v>
      </c>
      <c r="R361" s="3"/>
      <c r="S361" s="3"/>
      <c r="T361" s="3"/>
      <c r="U361" s="11"/>
    </row>
    <row r="362" spans="2:21" x14ac:dyDescent="0.25">
      <c r="B362" s="10"/>
      <c r="C362" s="3"/>
      <c r="D362" s="247" t="s">
        <v>147</v>
      </c>
      <c r="E362" s="56">
        <f>F33</f>
        <v>0.83333333333333337</v>
      </c>
      <c r="F362" s="56">
        <f>F112</f>
        <v>0.49084340686032418</v>
      </c>
      <c r="G362" s="56">
        <f t="shared" ref="G362:G367" si="49">E362*$E$353</f>
        <v>19.036478458717529</v>
      </c>
      <c r="H362" s="56">
        <f t="shared" si="40"/>
        <v>3.8072956917435068</v>
      </c>
      <c r="I362" s="56">
        <f t="shared" si="41"/>
        <v>-0.68456228014913723</v>
      </c>
      <c r="J362" s="56">
        <f t="shared" si="42"/>
        <v>-0.71010304606545882</v>
      </c>
      <c r="K362" s="551">
        <f t="shared" si="43"/>
        <v>19.04878310088651</v>
      </c>
      <c r="L362" s="56"/>
      <c r="M362" s="56">
        <f t="shared" si="44"/>
        <v>14.732117428179853</v>
      </c>
      <c r="N362" s="56">
        <f t="shared" si="45"/>
        <v>2.9464234856359717</v>
      </c>
      <c r="O362" s="56">
        <f t="shared" si="46"/>
        <v>-0.46941413495940837</v>
      </c>
      <c r="P362" s="56">
        <f t="shared" si="47"/>
        <v>-0.48692780301631461</v>
      </c>
      <c r="Q362" s="551">
        <f t="shared" si="48"/>
        <v>14.739594076764131</v>
      </c>
      <c r="R362" s="3"/>
      <c r="S362" s="3"/>
      <c r="T362" s="3"/>
      <c r="U362" s="11"/>
    </row>
    <row r="363" spans="2:21" x14ac:dyDescent="0.25">
      <c r="B363" s="10"/>
      <c r="C363" s="3"/>
      <c r="D363" s="245" t="s">
        <v>17</v>
      </c>
      <c r="E363" s="56">
        <f>F34</f>
        <v>0.66666666666666663</v>
      </c>
      <c r="F363" s="56">
        <f>F113</f>
        <v>-1.8313186279352366E-2</v>
      </c>
      <c r="G363" s="56">
        <f t="shared" si="49"/>
        <v>15.229182766974022</v>
      </c>
      <c r="H363" s="56">
        <f t="shared" si="40"/>
        <v>3.807295691743505</v>
      </c>
      <c r="I363" s="56">
        <f t="shared" si="41"/>
        <v>2.5540765916321612E-2</v>
      </c>
      <c r="J363" s="56">
        <f t="shared" si="42"/>
        <v>-0.71010304606545804</v>
      </c>
      <c r="K363" s="551">
        <f t="shared" si="43"/>
        <v>15.229204184087299</v>
      </c>
      <c r="L363" s="56"/>
      <c r="M363" s="56">
        <f t="shared" si="44"/>
        <v>11.785693942543881</v>
      </c>
      <c r="N363" s="56">
        <f t="shared" si="45"/>
        <v>2.9464234856359699</v>
      </c>
      <c r="O363" s="56">
        <f t="shared" si="46"/>
        <v>1.751366805690625E-2</v>
      </c>
      <c r="P363" s="56">
        <f t="shared" si="47"/>
        <v>-0.48692780301631411</v>
      </c>
      <c r="Q363" s="551">
        <f t="shared" si="48"/>
        <v>11.785706955286321</v>
      </c>
      <c r="R363" s="3"/>
      <c r="S363" s="3"/>
      <c r="T363" s="3"/>
      <c r="U363" s="11"/>
    </row>
    <row r="364" spans="2:21" x14ac:dyDescent="0.25">
      <c r="B364" s="10"/>
      <c r="C364" s="3"/>
      <c r="D364" s="247" t="s">
        <v>18</v>
      </c>
      <c r="E364" s="56">
        <f>F35</f>
        <v>0.5</v>
      </c>
      <c r="F364" s="56">
        <f>F114</f>
        <v>-0.5274697794190284</v>
      </c>
      <c r="G364" s="56">
        <f t="shared" si="49"/>
        <v>11.421887075230517</v>
      </c>
      <c r="H364" s="56">
        <f t="shared" si="40"/>
        <v>3.8072956917435059</v>
      </c>
      <c r="I364" s="56">
        <f t="shared" si="41"/>
        <v>0.73564381198177964</v>
      </c>
      <c r="J364" s="56">
        <f t="shared" si="42"/>
        <v>-0.71010304606545871</v>
      </c>
      <c r="K364" s="551">
        <f t="shared" si="43"/>
        <v>11.445552681169442</v>
      </c>
      <c r="L364" s="56"/>
      <c r="M364" s="56">
        <f t="shared" si="44"/>
        <v>8.8392704569079115</v>
      </c>
      <c r="N364" s="56">
        <f t="shared" si="45"/>
        <v>2.9464234856359708</v>
      </c>
      <c r="O364" s="56">
        <f t="shared" si="46"/>
        <v>0.50444147107322035</v>
      </c>
      <c r="P364" s="56">
        <f t="shared" si="47"/>
        <v>-0.48692780301631455</v>
      </c>
      <c r="Q364" s="551">
        <f t="shared" si="48"/>
        <v>8.8536525461587612</v>
      </c>
      <c r="R364" s="3"/>
      <c r="S364" s="3"/>
      <c r="T364" s="3"/>
      <c r="U364" s="11"/>
    </row>
    <row r="365" spans="2:21" x14ac:dyDescent="0.25">
      <c r="B365" s="10"/>
      <c r="C365" s="3"/>
      <c r="D365" s="245" t="s">
        <v>19</v>
      </c>
      <c r="E365" s="56">
        <f>F36</f>
        <v>0.33333333333333331</v>
      </c>
      <c r="F365" s="56">
        <f>F115</f>
        <v>-1.0366263725587048</v>
      </c>
      <c r="G365" s="56">
        <f t="shared" si="49"/>
        <v>7.6145913834870109</v>
      </c>
      <c r="H365" s="56">
        <f t="shared" si="40"/>
        <v>3.8072956917435055</v>
      </c>
      <c r="I365" s="56">
        <f t="shared" si="41"/>
        <v>1.4457468580472383</v>
      </c>
      <c r="J365" s="56">
        <f t="shared" si="42"/>
        <v>-0.71010304606545782</v>
      </c>
      <c r="K365" s="551">
        <f t="shared" si="43"/>
        <v>7.7506248725524118</v>
      </c>
      <c r="L365" s="56"/>
      <c r="M365" s="56">
        <f t="shared" si="44"/>
        <v>5.8928469712719407</v>
      </c>
      <c r="N365" s="56">
        <f t="shared" si="45"/>
        <v>2.9464234856359703</v>
      </c>
      <c r="O365" s="56">
        <f t="shared" si="46"/>
        <v>0.9913692740895349</v>
      </c>
      <c r="P365" s="56">
        <f t="shared" si="47"/>
        <v>-0.48692780301631411</v>
      </c>
      <c r="Q365" s="551">
        <f t="shared" si="48"/>
        <v>5.9756554840818676</v>
      </c>
      <c r="R365" s="3"/>
      <c r="S365" s="3"/>
      <c r="T365" s="3"/>
      <c r="U365" s="11"/>
    </row>
    <row r="366" spans="2:21" x14ac:dyDescent="0.25">
      <c r="B366" s="10"/>
      <c r="C366" s="3"/>
      <c r="D366" s="247" t="s">
        <v>16</v>
      </c>
      <c r="E366" s="56">
        <f>F37</f>
        <v>0.16666666666666666</v>
      </c>
      <c r="F366" s="56">
        <f>F116</f>
        <v>-1.5457829656983808</v>
      </c>
      <c r="G366" s="56">
        <f t="shared" si="49"/>
        <v>3.8072956917435055</v>
      </c>
      <c r="H366" s="56">
        <f t="shared" si="40"/>
        <v>3.8072956917435055</v>
      </c>
      <c r="I366" s="56">
        <f t="shared" si="41"/>
        <v>2.1558499041126962</v>
      </c>
      <c r="J366" s="56">
        <f t="shared" si="42"/>
        <v>2.1558499041126962</v>
      </c>
      <c r="K366" s="551">
        <f t="shared" si="43"/>
        <v>4.3752930522916262</v>
      </c>
      <c r="L366" s="56"/>
      <c r="M366" s="56">
        <f t="shared" si="44"/>
        <v>2.9464234856359703</v>
      </c>
      <c r="N366" s="56">
        <f t="shared" si="45"/>
        <v>2.9464234856359703</v>
      </c>
      <c r="O366" s="56">
        <f t="shared" si="46"/>
        <v>1.478297077105849</v>
      </c>
      <c r="P366" s="56">
        <f t="shared" si="47"/>
        <v>1.478297077105849</v>
      </c>
      <c r="Q366" s="551">
        <f t="shared" si="48"/>
        <v>3.2964789707939768</v>
      </c>
      <c r="R366" s="3"/>
      <c r="S366" s="3"/>
      <c r="T366" s="3"/>
      <c r="U366" s="11"/>
    </row>
    <row r="367" spans="2:21" x14ac:dyDescent="0.25">
      <c r="B367" s="10"/>
      <c r="C367" s="3"/>
      <c r="D367" s="67" t="s">
        <v>30</v>
      </c>
      <c r="E367" s="81">
        <f>F38</f>
        <v>0</v>
      </c>
      <c r="F367" s="81">
        <f>F117</f>
        <v>0</v>
      </c>
      <c r="G367" s="81">
        <f t="shared" si="49"/>
        <v>0</v>
      </c>
      <c r="H367" s="81">
        <f t="shared" si="40"/>
        <v>0</v>
      </c>
      <c r="I367" s="81">
        <f t="shared" si="41"/>
        <v>0</v>
      </c>
      <c r="J367" s="81">
        <f t="shared" si="42"/>
        <v>0</v>
      </c>
      <c r="K367" s="555">
        <f t="shared" si="43"/>
        <v>0</v>
      </c>
      <c r="L367" s="81"/>
      <c r="M367" s="81">
        <f t="shared" si="44"/>
        <v>0</v>
      </c>
      <c r="N367" s="81">
        <f t="shared" si="45"/>
        <v>0</v>
      </c>
      <c r="O367" s="81">
        <f t="shared" si="46"/>
        <v>0</v>
      </c>
      <c r="P367" s="81">
        <f t="shared" si="47"/>
        <v>0</v>
      </c>
      <c r="Q367" s="555">
        <f t="shared" si="48"/>
        <v>0</v>
      </c>
      <c r="R367" s="3"/>
      <c r="S367" s="3"/>
      <c r="T367" s="3"/>
      <c r="U367" s="11"/>
    </row>
    <row r="368" spans="2:21" x14ac:dyDescent="0.25">
      <c r="B368" s="10"/>
      <c r="C368" s="3"/>
      <c r="D368" s="3"/>
      <c r="E368" s="3"/>
      <c r="F368" s="3"/>
      <c r="G368" s="3"/>
      <c r="H368" s="82"/>
      <c r="I368" s="82"/>
      <c r="J368" s="3"/>
      <c r="K368" s="89"/>
      <c r="L368" s="89"/>
      <c r="M368" s="89"/>
      <c r="N368" s="89"/>
      <c r="O368" s="89"/>
      <c r="P368" s="89"/>
      <c r="Q368" s="89"/>
      <c r="R368" s="3"/>
      <c r="S368" s="3"/>
      <c r="T368" s="3"/>
      <c r="U368" s="11"/>
    </row>
    <row r="369" spans="2:21" x14ac:dyDescent="0.25">
      <c r="B369" s="10"/>
      <c r="C369" s="3"/>
      <c r="D369" s="3"/>
      <c r="E369" s="3"/>
      <c r="F369" s="3"/>
      <c r="G369" s="3"/>
      <c r="H369" s="82"/>
      <c r="I369" s="82"/>
      <c r="J369" s="3"/>
      <c r="K369" s="3"/>
      <c r="L369" s="3"/>
      <c r="M369" s="82"/>
      <c r="N369" s="3"/>
      <c r="O369" s="3"/>
      <c r="P369" s="3"/>
      <c r="Q369" s="3"/>
      <c r="R369" s="3"/>
      <c r="S369" s="3"/>
      <c r="T369" s="3"/>
      <c r="U369" s="11"/>
    </row>
    <row r="370" spans="2:21" x14ac:dyDescent="0.25">
      <c r="B370" s="10"/>
      <c r="C370" s="3"/>
      <c r="D370" s="270" t="s">
        <v>423</v>
      </c>
      <c r="E370" s="270"/>
      <c r="F370" s="270"/>
      <c r="G370" s="270"/>
      <c r="H370" s="270"/>
      <c r="I370" s="270"/>
      <c r="J370" s="270"/>
      <c r="K370" s="270"/>
      <c r="L370" s="3"/>
      <c r="M370" s="82"/>
      <c r="N370" s="3"/>
      <c r="O370" s="3"/>
      <c r="P370" s="3"/>
      <c r="Q370" s="3"/>
      <c r="R370" s="3"/>
      <c r="S370" s="3"/>
      <c r="T370" s="3"/>
      <c r="U370" s="11"/>
    </row>
    <row r="371" spans="2:21" x14ac:dyDescent="0.25">
      <c r="B371" s="10"/>
      <c r="C371" s="3"/>
      <c r="D371" s="251" t="s">
        <v>22</v>
      </c>
      <c r="E371" s="799" t="s">
        <v>12</v>
      </c>
      <c r="F371" s="799"/>
      <c r="G371" s="799"/>
      <c r="H371" s="808"/>
      <c r="I371" s="799" t="s">
        <v>13</v>
      </c>
      <c r="J371" s="799"/>
      <c r="K371" s="799"/>
      <c r="L371" s="3"/>
      <c r="M371" s="82"/>
      <c r="N371" s="3"/>
      <c r="O371" s="3"/>
      <c r="P371" s="3"/>
      <c r="Q371" s="3"/>
      <c r="R371" s="3"/>
      <c r="S371" s="3"/>
      <c r="T371" s="3"/>
      <c r="U371" s="11"/>
    </row>
    <row r="372" spans="2:21" x14ac:dyDescent="0.25">
      <c r="B372" s="10"/>
      <c r="C372" s="3"/>
      <c r="D372" s="801"/>
      <c r="E372" s="201" t="s">
        <v>417</v>
      </c>
      <c r="F372" s="201" t="s">
        <v>419</v>
      </c>
      <c r="G372" s="802" t="s">
        <v>424</v>
      </c>
      <c r="H372" s="793"/>
      <c r="I372" s="201" t="s">
        <v>417</v>
      </c>
      <c r="J372" s="201" t="s">
        <v>419</v>
      </c>
      <c r="K372" s="802" t="s">
        <v>424</v>
      </c>
      <c r="L372" s="3"/>
      <c r="M372" s="267" t="s">
        <v>507</v>
      </c>
      <c r="N372" s="267"/>
      <c r="O372" s="267"/>
      <c r="P372" s="3"/>
      <c r="Q372" s="3"/>
      <c r="R372" s="3"/>
      <c r="S372" s="3"/>
      <c r="T372" s="3"/>
      <c r="U372" s="11"/>
    </row>
    <row r="373" spans="2:21" ht="12" customHeight="1" x14ac:dyDescent="0.25">
      <c r="B373" s="10"/>
      <c r="C373" s="3"/>
      <c r="D373" s="252"/>
      <c r="E373" s="809"/>
      <c r="F373" s="809"/>
      <c r="G373" s="810" t="s">
        <v>421</v>
      </c>
      <c r="H373" s="811"/>
      <c r="I373" s="809"/>
      <c r="J373" s="809"/>
      <c r="K373" s="810" t="s">
        <v>421</v>
      </c>
      <c r="L373" s="3"/>
      <c r="M373" s="819" t="s">
        <v>133</v>
      </c>
      <c r="N373" s="819" t="s">
        <v>12</v>
      </c>
      <c r="O373" s="819" t="s">
        <v>13</v>
      </c>
      <c r="P373" s="3"/>
      <c r="Q373" s="3"/>
      <c r="R373" s="3"/>
      <c r="S373" s="3"/>
      <c r="T373" s="3"/>
      <c r="U373" s="11"/>
    </row>
    <row r="374" spans="2:21" x14ac:dyDescent="0.25">
      <c r="B374" s="10"/>
      <c r="C374" s="3"/>
      <c r="D374" s="247" t="s">
        <v>14</v>
      </c>
      <c r="E374" s="56">
        <f>G361-G362</f>
        <v>3.807295691743505</v>
      </c>
      <c r="F374" s="56">
        <f>I361-I362</f>
        <v>-0.71010304606545771</v>
      </c>
      <c r="G374" s="551">
        <f t="shared" ref="G374:G380" si="50">SQRT(E374^2+F374^2)</f>
        <v>3.8729506607236939</v>
      </c>
      <c r="H374" s="820"/>
      <c r="I374" s="820">
        <f>M361-M362</f>
        <v>2.9464234856359699</v>
      </c>
      <c r="J374" s="56">
        <f>O361-O362</f>
        <v>-0.48692780301631394</v>
      </c>
      <c r="K374" s="551">
        <f>SQRT(I374^2+J374^2)</f>
        <v>2.9863874567874666</v>
      </c>
      <c r="L374" s="3"/>
      <c r="M374" s="237" t="s">
        <v>14</v>
      </c>
      <c r="N374" s="821">
        <f>G374/((M8-M9)*12)</f>
        <v>2.6895490699470097E-2</v>
      </c>
      <c r="O374" s="821">
        <f>K374/((M8-M9)*12)</f>
        <v>2.0738801783246295E-2</v>
      </c>
      <c r="P374" s="3"/>
      <c r="Q374" s="3"/>
      <c r="R374" s="3"/>
      <c r="S374" s="3"/>
      <c r="T374" s="3"/>
      <c r="U374" s="11"/>
    </row>
    <row r="375" spans="2:21" x14ac:dyDescent="0.25">
      <c r="B375" s="10"/>
      <c r="C375" s="3"/>
      <c r="D375" s="247" t="s">
        <v>147</v>
      </c>
      <c r="E375" s="56">
        <f>G362-G363</f>
        <v>3.8072956917435068</v>
      </c>
      <c r="F375" s="56">
        <f>I362-I363</f>
        <v>-0.71010304606545882</v>
      </c>
      <c r="G375" s="551">
        <f t="shared" si="50"/>
        <v>3.8729506607236956</v>
      </c>
      <c r="H375" s="820"/>
      <c r="I375" s="820">
        <f>M362-M363</f>
        <v>2.9464234856359717</v>
      </c>
      <c r="J375" s="56">
        <f>O362-O363</f>
        <v>-0.48692780301631461</v>
      </c>
      <c r="K375" s="551">
        <f t="shared" ref="K375:K380" si="51">SQRT(I375^2+J375^2)</f>
        <v>2.9863874567874689</v>
      </c>
      <c r="L375" s="3"/>
      <c r="M375" s="237" t="s">
        <v>147</v>
      </c>
      <c r="N375" s="821">
        <f>G375/((M9-M10)*12)</f>
        <v>2.6895490699470108E-2</v>
      </c>
      <c r="O375" s="821">
        <f>K375/((M9-M10)*12)</f>
        <v>2.0738801783246313E-2</v>
      </c>
      <c r="P375" s="3"/>
      <c r="Q375" s="3"/>
      <c r="R375" s="3"/>
      <c r="S375" s="3"/>
      <c r="T375" s="3"/>
      <c r="U375" s="11"/>
    </row>
    <row r="376" spans="2:21" x14ac:dyDescent="0.25">
      <c r="B376" s="10"/>
      <c r="C376" s="3"/>
      <c r="D376" s="245" t="s">
        <v>17</v>
      </c>
      <c r="E376" s="56">
        <f>G363-G364</f>
        <v>3.807295691743505</v>
      </c>
      <c r="F376" s="56">
        <f>I363-I364</f>
        <v>-0.71010304606545804</v>
      </c>
      <c r="G376" s="551">
        <f t="shared" si="50"/>
        <v>3.8729506607236939</v>
      </c>
      <c r="H376" s="820"/>
      <c r="I376" s="820">
        <f>M363-M364</f>
        <v>2.9464234856359699</v>
      </c>
      <c r="J376" s="56">
        <f>O363-O364</f>
        <v>-0.48692780301631411</v>
      </c>
      <c r="K376" s="551">
        <f t="shared" si="51"/>
        <v>2.9863874567874671</v>
      </c>
      <c r="L376" s="3"/>
      <c r="M376" s="26" t="s">
        <v>17</v>
      </c>
      <c r="N376" s="821">
        <f>G376/((M10-M11)*12)</f>
        <v>2.6895490699470097E-2</v>
      </c>
      <c r="O376" s="821">
        <f>K376/((M10-M11)*12)</f>
        <v>2.0738801783246299E-2</v>
      </c>
      <c r="P376" s="3"/>
      <c r="Q376" s="3"/>
      <c r="R376" s="3"/>
      <c r="S376" s="3"/>
      <c r="T376" s="3"/>
      <c r="U376" s="11"/>
    </row>
    <row r="377" spans="2:21" x14ac:dyDescent="0.25">
      <c r="B377" s="10"/>
      <c r="C377" s="3"/>
      <c r="D377" s="247" t="s">
        <v>18</v>
      </c>
      <c r="E377" s="56">
        <f>G364-G365</f>
        <v>3.8072956917435059</v>
      </c>
      <c r="F377" s="56">
        <f>I364-I365</f>
        <v>-0.71010304606545871</v>
      </c>
      <c r="G377" s="551">
        <f t="shared" si="50"/>
        <v>3.8729506607236948</v>
      </c>
      <c r="H377" s="820"/>
      <c r="I377" s="820">
        <f>M364-M365</f>
        <v>2.9464234856359708</v>
      </c>
      <c r="J377" s="56">
        <f>O364-O365</f>
        <v>-0.48692780301631455</v>
      </c>
      <c r="K377" s="551">
        <f t="shared" si="51"/>
        <v>2.986387456787468</v>
      </c>
      <c r="L377" s="3"/>
      <c r="M377" s="237" t="s">
        <v>18</v>
      </c>
      <c r="N377" s="821">
        <f>G377/((M11-M12)*12)</f>
        <v>2.6895490699470101E-2</v>
      </c>
      <c r="O377" s="821">
        <f>K377/((M11-M12)*12)</f>
        <v>2.0738801783246306E-2</v>
      </c>
      <c r="P377" s="3"/>
      <c r="Q377" s="3"/>
      <c r="R377" s="3"/>
      <c r="S377" s="3"/>
      <c r="T377" s="3"/>
      <c r="U377" s="11"/>
    </row>
    <row r="378" spans="2:21" x14ac:dyDescent="0.25">
      <c r="B378" s="10"/>
      <c r="C378" s="3"/>
      <c r="D378" s="245" t="s">
        <v>19</v>
      </c>
      <c r="E378" s="56">
        <f>G365-G366</f>
        <v>3.8072956917435055</v>
      </c>
      <c r="F378" s="56">
        <f>I365-I366</f>
        <v>-0.71010304606545782</v>
      </c>
      <c r="G378" s="551">
        <f t="shared" si="50"/>
        <v>3.8729506607236939</v>
      </c>
      <c r="H378" s="820"/>
      <c r="I378" s="820">
        <f>M365-M366</f>
        <v>2.9464234856359703</v>
      </c>
      <c r="J378" s="56">
        <f>O365-O366</f>
        <v>-0.48692780301631411</v>
      </c>
      <c r="K378" s="551">
        <f t="shared" si="51"/>
        <v>2.9863874567874671</v>
      </c>
      <c r="L378" s="3"/>
      <c r="M378" s="26" t="s">
        <v>19</v>
      </c>
      <c r="N378" s="821">
        <f>G378/((M12-M13)*12)</f>
        <v>2.6895490699470097E-2</v>
      </c>
      <c r="O378" s="821">
        <f>K378/((M12-M13)*12)</f>
        <v>2.0738801783246299E-2</v>
      </c>
      <c r="P378" s="3"/>
      <c r="Q378" s="3"/>
      <c r="R378" s="3"/>
      <c r="S378" s="3"/>
      <c r="T378" s="3"/>
      <c r="U378" s="11"/>
    </row>
    <row r="379" spans="2:21" x14ac:dyDescent="0.25">
      <c r="B379" s="10"/>
      <c r="C379" s="3"/>
      <c r="D379" s="247" t="s">
        <v>16</v>
      </c>
      <c r="E379" s="56">
        <f>G366-G367</f>
        <v>3.8072956917435055</v>
      </c>
      <c r="F379" s="56">
        <f>I366-I367</f>
        <v>2.1558499041126962</v>
      </c>
      <c r="G379" s="551">
        <f t="shared" si="50"/>
        <v>4.3752930522916262</v>
      </c>
      <c r="H379" s="820"/>
      <c r="I379" s="820">
        <f>M366-M367</f>
        <v>2.9464234856359703</v>
      </c>
      <c r="J379" s="56">
        <f>O366-O367</f>
        <v>1.478297077105849</v>
      </c>
      <c r="K379" s="551">
        <f t="shared" si="51"/>
        <v>3.2964789707939768</v>
      </c>
      <c r="L379" s="3"/>
      <c r="M379" s="237" t="s">
        <v>16</v>
      </c>
      <c r="N379" s="821">
        <f>G379/((M13-M14)*12)</f>
        <v>3.038397952980296E-2</v>
      </c>
      <c r="O379" s="821">
        <f>K379/((M13-M14)*12)</f>
        <v>2.2892215074958172E-2</v>
      </c>
      <c r="P379" s="3"/>
      <c r="Q379" s="3"/>
      <c r="R379" s="3"/>
      <c r="S379" s="3"/>
      <c r="T379" s="3"/>
      <c r="U379" s="11"/>
    </row>
    <row r="380" spans="2:21" x14ac:dyDescent="0.25">
      <c r="B380" s="10"/>
      <c r="C380" s="3"/>
      <c r="D380" s="67" t="s">
        <v>30</v>
      </c>
      <c r="E380" s="81">
        <f>G367-G368</f>
        <v>0</v>
      </c>
      <c r="F380" s="81">
        <f>I367-H368</f>
        <v>0</v>
      </c>
      <c r="G380" s="555">
        <f t="shared" si="50"/>
        <v>0</v>
      </c>
      <c r="H380" s="822"/>
      <c r="I380" s="822">
        <f>M367-J368</f>
        <v>0</v>
      </c>
      <c r="J380" s="81">
        <f>O367-K368</f>
        <v>0</v>
      </c>
      <c r="K380" s="555">
        <f t="shared" si="51"/>
        <v>0</v>
      </c>
      <c r="L380" s="3"/>
      <c r="M380" s="246" t="s">
        <v>30</v>
      </c>
      <c r="N380" s="823">
        <v>0</v>
      </c>
      <c r="O380" s="823">
        <v>0</v>
      </c>
      <c r="P380" s="3"/>
      <c r="Q380" s="3"/>
      <c r="R380" s="3"/>
      <c r="S380" s="3"/>
      <c r="T380" s="3"/>
      <c r="U380" s="11"/>
    </row>
    <row r="381" spans="2:21" x14ac:dyDescent="0.25">
      <c r="B381" s="10"/>
      <c r="C381" s="3"/>
      <c r="D381" s="3"/>
      <c r="E381" s="3"/>
      <c r="F381" s="3"/>
      <c r="G381" s="3"/>
      <c r="H381" s="82"/>
      <c r="I381" s="82"/>
      <c r="J381" s="3"/>
      <c r="K381" s="3"/>
      <c r="L381" s="3"/>
      <c r="M381" s="82"/>
      <c r="N381" s="3"/>
      <c r="O381" s="3"/>
      <c r="P381" s="3"/>
      <c r="Q381" s="3"/>
      <c r="R381" s="3"/>
      <c r="S381" s="3"/>
      <c r="T381" s="3"/>
      <c r="U381" s="11"/>
    </row>
    <row r="382" spans="2:21" x14ac:dyDescent="0.25">
      <c r="B382" s="10"/>
      <c r="C382" s="3"/>
      <c r="D382" s="3"/>
      <c r="E382" s="3"/>
      <c r="F382" s="3"/>
      <c r="G382" s="3"/>
      <c r="H382" s="82"/>
      <c r="I382" s="82"/>
      <c r="J382" s="3"/>
      <c r="K382" s="3"/>
      <c r="L382" s="3"/>
      <c r="M382" s="82"/>
      <c r="N382" s="3"/>
      <c r="O382" s="3"/>
      <c r="P382" s="3"/>
      <c r="Q382" s="3"/>
      <c r="R382" s="3"/>
      <c r="S382" s="3"/>
      <c r="T382" s="3"/>
      <c r="U382" s="11"/>
    </row>
    <row r="383" spans="2:21" x14ac:dyDescent="0.25">
      <c r="B383" s="10"/>
      <c r="C383" s="3"/>
      <c r="D383" s="270" t="s">
        <v>425</v>
      </c>
      <c r="E383" s="270"/>
      <c r="F383" s="270"/>
      <c r="G383" s="270"/>
      <c r="H383" s="270"/>
      <c r="I383" s="270"/>
      <c r="J383" s="270"/>
      <c r="K383" s="270"/>
      <c r="L383" s="3"/>
      <c r="M383" s="3"/>
      <c r="N383" s="3"/>
      <c r="O383" s="3"/>
      <c r="P383" s="3"/>
      <c r="Q383" s="3"/>
      <c r="R383" s="3"/>
      <c r="S383" s="3"/>
      <c r="T383" s="3"/>
      <c r="U383" s="11"/>
    </row>
    <row r="384" spans="2:21" x14ac:dyDescent="0.25">
      <c r="B384" s="10"/>
      <c r="C384" s="3"/>
      <c r="D384" s="251" t="s">
        <v>133</v>
      </c>
      <c r="E384" s="799" t="s">
        <v>12</v>
      </c>
      <c r="F384" s="799"/>
      <c r="G384" s="799"/>
      <c r="H384" s="224"/>
      <c r="I384" s="799" t="s">
        <v>13</v>
      </c>
      <c r="J384" s="799"/>
      <c r="K384" s="799"/>
      <c r="L384" s="3"/>
      <c r="M384" s="3"/>
      <c r="N384" s="3"/>
      <c r="O384" s="3"/>
      <c r="P384" s="3"/>
      <c r="Q384" s="3"/>
      <c r="R384" s="3"/>
      <c r="S384" s="3"/>
      <c r="T384" s="3"/>
      <c r="U384" s="11"/>
    </row>
    <row r="385" spans="2:23" ht="15.75" x14ac:dyDescent="0.25">
      <c r="B385" s="10"/>
      <c r="C385" s="3"/>
      <c r="D385" s="801"/>
      <c r="E385" s="802" t="s">
        <v>432</v>
      </c>
      <c r="F385" s="802" t="s">
        <v>433</v>
      </c>
      <c r="G385" s="813" t="s">
        <v>434</v>
      </c>
      <c r="H385" s="802"/>
      <c r="I385" s="802" t="s">
        <v>432</v>
      </c>
      <c r="J385" s="802" t="s">
        <v>433</v>
      </c>
      <c r="K385" s="813" t="s">
        <v>434</v>
      </c>
      <c r="L385" s="3"/>
      <c r="M385" s="3"/>
      <c r="N385" s="3"/>
      <c r="O385" s="3"/>
      <c r="P385" s="3"/>
      <c r="Q385" s="3"/>
      <c r="R385" s="3"/>
      <c r="S385" s="3"/>
      <c r="T385" s="3"/>
      <c r="U385" s="11"/>
    </row>
    <row r="386" spans="2:23" ht="13.5" customHeight="1" x14ac:dyDescent="0.25">
      <c r="B386" s="10"/>
      <c r="C386" s="3"/>
      <c r="D386" s="252"/>
      <c r="E386" s="810" t="s">
        <v>426</v>
      </c>
      <c r="F386" s="810" t="s">
        <v>427</v>
      </c>
      <c r="G386" s="810" t="s">
        <v>428</v>
      </c>
      <c r="H386" s="810"/>
      <c r="I386" s="810" t="s">
        <v>426</v>
      </c>
      <c r="J386" s="810" t="s">
        <v>427</v>
      </c>
      <c r="K386" s="810" t="s">
        <v>428</v>
      </c>
      <c r="L386" s="3"/>
      <c r="M386" s="3"/>
      <c r="N386" s="3"/>
      <c r="O386" s="3"/>
      <c r="P386" s="3"/>
      <c r="Q386" s="3"/>
      <c r="R386" s="3"/>
      <c r="S386" s="3"/>
      <c r="T386" s="3"/>
      <c r="U386" s="11"/>
    </row>
    <row r="387" spans="2:23" x14ac:dyDescent="0.25">
      <c r="B387" s="10"/>
      <c r="C387" s="3"/>
      <c r="D387" s="124" t="s">
        <v>14</v>
      </c>
      <c r="E387" s="620">
        <f>2*PI()*E374/$D$200</f>
        <v>6.0006715119159812</v>
      </c>
      <c r="F387" s="620">
        <f>2*PI()*F374/$G$102</f>
        <v>-3.426811847635908</v>
      </c>
      <c r="G387" s="815">
        <f t="shared" ref="G387:G393" si="52">SQRT(E387^2+F387^2)</f>
        <v>6.9102169309666284</v>
      </c>
      <c r="H387" s="815"/>
      <c r="I387" s="620">
        <f>2*PI()*I374/$E$200</f>
        <v>6.7722848406583163</v>
      </c>
      <c r="J387" s="620">
        <f>2*PI()*J374/$G$103</f>
        <v>-3.4268118476359088</v>
      </c>
      <c r="K387" s="815">
        <f t="shared" ref="K387:K393" si="53">SQRT(I387^2+J387^2)</f>
        <v>7.5899197230345115</v>
      </c>
      <c r="L387" s="3"/>
      <c r="M387" s="3"/>
      <c r="N387" s="3"/>
      <c r="O387" s="3"/>
      <c r="P387" s="3"/>
      <c r="Q387" s="3"/>
      <c r="R387" s="3"/>
      <c r="S387" s="3"/>
      <c r="T387" s="3"/>
      <c r="U387" s="11"/>
    </row>
    <row r="388" spans="2:23" x14ac:dyDescent="0.25">
      <c r="B388" s="10"/>
      <c r="C388" s="3"/>
      <c r="D388" s="124" t="s">
        <v>147</v>
      </c>
      <c r="E388" s="620">
        <f>2*PI()*E375/$D$200</f>
        <v>6.0006715119159839</v>
      </c>
      <c r="F388" s="620">
        <f>2*PI()*F375/$G$102</f>
        <v>-3.4268118476359137</v>
      </c>
      <c r="G388" s="815">
        <f t="shared" si="52"/>
        <v>6.9102169309666337</v>
      </c>
      <c r="H388" s="815"/>
      <c r="I388" s="620">
        <f>2*PI()*I375/$E$200</f>
        <v>6.7722848406583198</v>
      </c>
      <c r="J388" s="620">
        <f>2*PI()*J375/$G$103</f>
        <v>-3.4268118476359133</v>
      </c>
      <c r="K388" s="815">
        <f t="shared" si="53"/>
        <v>7.5899197230345168</v>
      </c>
      <c r="L388" s="3"/>
      <c r="M388" s="3"/>
      <c r="N388" s="3"/>
      <c r="O388" s="3"/>
      <c r="P388" s="3"/>
      <c r="Q388" s="3"/>
      <c r="R388" s="3"/>
      <c r="S388" s="3"/>
      <c r="T388" s="3"/>
      <c r="U388" s="11"/>
    </row>
    <row r="389" spans="2:23" x14ac:dyDescent="0.25">
      <c r="B389" s="10"/>
      <c r="C389" s="3"/>
      <c r="D389" s="230" t="s">
        <v>17</v>
      </c>
      <c r="E389" s="620">
        <f>2*PI()*E376/$D$200</f>
        <v>6.0006715119159812</v>
      </c>
      <c r="F389" s="620">
        <f>2*PI()*F376/$G$102</f>
        <v>-3.4268118476359102</v>
      </c>
      <c r="G389" s="815">
        <f t="shared" si="52"/>
        <v>6.9102169309666301</v>
      </c>
      <c r="H389" s="815"/>
      <c r="I389" s="620">
        <f>2*PI()*I376/$E$200</f>
        <v>6.7722848406583163</v>
      </c>
      <c r="J389" s="620">
        <f>2*PI()*J376/$G$103</f>
        <v>-3.4268118476359097</v>
      </c>
      <c r="K389" s="815">
        <f t="shared" si="53"/>
        <v>7.5899197230345115</v>
      </c>
      <c r="L389" s="3"/>
      <c r="M389" s="3"/>
      <c r="N389" s="3"/>
      <c r="O389" s="3"/>
      <c r="P389" s="3"/>
      <c r="Q389" s="3"/>
      <c r="R389" s="3"/>
      <c r="S389" s="3"/>
      <c r="T389" s="3"/>
      <c r="U389" s="11"/>
    </row>
    <row r="390" spans="2:23" x14ac:dyDescent="0.25">
      <c r="B390" s="10"/>
      <c r="C390" s="3"/>
      <c r="D390" s="124" t="s">
        <v>18</v>
      </c>
      <c r="E390" s="620">
        <f>2*PI()*E377/$D$200</f>
        <v>6.000671511915983</v>
      </c>
      <c r="F390" s="620">
        <f>2*PI()*F377/$G$102</f>
        <v>-3.4268118476359128</v>
      </c>
      <c r="G390" s="815">
        <f t="shared" si="52"/>
        <v>6.9102169309666328</v>
      </c>
      <c r="H390" s="815"/>
      <c r="I390" s="620">
        <f>2*PI()*I377/$E$200</f>
        <v>6.7722848406583189</v>
      </c>
      <c r="J390" s="620">
        <f>2*PI()*J377/$G$103</f>
        <v>-3.4268118476359128</v>
      </c>
      <c r="K390" s="815">
        <f t="shared" si="53"/>
        <v>7.589919723034515</v>
      </c>
      <c r="L390" s="3"/>
      <c r="M390" s="3"/>
      <c r="N390" s="3"/>
      <c r="O390" s="3"/>
      <c r="P390" s="3"/>
      <c r="Q390" s="3"/>
      <c r="R390" s="3"/>
      <c r="S390" s="3"/>
      <c r="T390" s="3"/>
      <c r="U390" s="11"/>
    </row>
    <row r="391" spans="2:23" x14ac:dyDescent="0.25">
      <c r="B391" s="10"/>
      <c r="C391" s="3"/>
      <c r="D391" s="230" t="s">
        <v>19</v>
      </c>
      <c r="E391" s="620">
        <f>2*PI()*E378/$D$200</f>
        <v>6.0006715119159821</v>
      </c>
      <c r="F391" s="620">
        <f>2*PI()*F378/$G$102</f>
        <v>-3.4268118476359088</v>
      </c>
      <c r="G391" s="815">
        <f t="shared" si="52"/>
        <v>6.9102169309666301</v>
      </c>
      <c r="H391" s="815"/>
      <c r="I391" s="620">
        <f>2*PI()*I378/$E$200</f>
        <v>6.7722848406583172</v>
      </c>
      <c r="J391" s="620">
        <f>2*PI()*J378/$G$103</f>
        <v>-3.4268118476359097</v>
      </c>
      <c r="K391" s="815">
        <f t="shared" si="53"/>
        <v>7.5899197230345123</v>
      </c>
      <c r="L391" s="3"/>
      <c r="M391" s="3"/>
      <c r="N391" s="3"/>
      <c r="O391" s="3"/>
      <c r="P391" s="3"/>
      <c r="Q391" s="3"/>
      <c r="R391" s="3"/>
      <c r="S391" s="3"/>
      <c r="T391" s="3"/>
      <c r="U391" s="11"/>
    </row>
    <row r="392" spans="2:23" x14ac:dyDescent="0.25">
      <c r="B392" s="10"/>
      <c r="C392" s="3"/>
      <c r="D392" s="124" t="s">
        <v>16</v>
      </c>
      <c r="E392" s="620">
        <f>2*PI()*E379/$D$200</f>
        <v>6.0006715119159821</v>
      </c>
      <c r="F392" s="620">
        <f>2*PI()*F379/$G$102</f>
        <v>10.403690047623204</v>
      </c>
      <c r="G392" s="815">
        <f t="shared" si="52"/>
        <v>12.01019671782832</v>
      </c>
      <c r="H392" s="815"/>
      <c r="I392" s="620">
        <f>2*PI()*I379/$E$200</f>
        <v>6.7722848406583172</v>
      </c>
      <c r="J392" s="620">
        <f>2*PI()*J379/$G$103</f>
        <v>10.403690047623204</v>
      </c>
      <c r="K392" s="815">
        <f t="shared" si="53"/>
        <v>12.41372661894987</v>
      </c>
      <c r="L392" s="3"/>
      <c r="M392" s="3"/>
      <c r="N392" s="3"/>
      <c r="O392" s="3"/>
      <c r="P392" s="3"/>
      <c r="Q392" s="3"/>
      <c r="R392" s="3"/>
      <c r="S392" s="3"/>
      <c r="T392" s="3"/>
      <c r="U392" s="11"/>
    </row>
    <row r="393" spans="2:23" x14ac:dyDescent="0.25">
      <c r="B393" s="10"/>
      <c r="C393" s="3"/>
      <c r="D393" s="125" t="s">
        <v>30</v>
      </c>
      <c r="E393" s="622">
        <f>2*PI()*E380/$D$200</f>
        <v>0</v>
      </c>
      <c r="F393" s="622">
        <f>2*PI()*F380/$G$102</f>
        <v>0</v>
      </c>
      <c r="G393" s="816">
        <f t="shared" si="52"/>
        <v>0</v>
      </c>
      <c r="H393" s="816"/>
      <c r="I393" s="622">
        <f>2*PI()*I380/$E$200</f>
        <v>0</v>
      </c>
      <c r="J393" s="622">
        <f>2*PI()*J380/$G$103</f>
        <v>0</v>
      </c>
      <c r="K393" s="816">
        <f t="shared" si="53"/>
        <v>0</v>
      </c>
      <c r="L393" s="3"/>
      <c r="M393" s="3"/>
      <c r="N393" s="3"/>
      <c r="O393" s="3"/>
      <c r="P393" s="3"/>
      <c r="Q393" s="3"/>
      <c r="R393" s="3"/>
      <c r="S393" s="3"/>
      <c r="T393" s="3"/>
      <c r="U393" s="11"/>
    </row>
    <row r="394" spans="2:23" x14ac:dyDescent="0.25">
      <c r="B394" s="10"/>
      <c r="C394" s="3"/>
      <c r="D394" s="3"/>
      <c r="E394" s="3"/>
      <c r="F394" s="3"/>
      <c r="G394" s="3"/>
      <c r="H394" s="82"/>
      <c r="I394" s="82"/>
      <c r="J394" s="3"/>
      <c r="K394" s="3"/>
      <c r="L394" s="3"/>
      <c r="M394" s="82"/>
      <c r="N394" s="3"/>
      <c r="O394" s="3"/>
      <c r="P394" s="3"/>
      <c r="Q394" s="3"/>
      <c r="R394" s="3"/>
      <c r="S394" s="3"/>
      <c r="T394" s="3"/>
      <c r="U394" s="11"/>
    </row>
    <row r="395" spans="2:23" ht="15.75" thickBot="1" x14ac:dyDescent="0.3">
      <c r="B395" s="23"/>
      <c r="C395" s="24"/>
      <c r="D395" s="24"/>
      <c r="E395" s="24"/>
      <c r="F395" s="24"/>
      <c r="G395" s="24"/>
      <c r="H395" s="208"/>
      <c r="I395" s="208"/>
      <c r="J395" s="24"/>
      <c r="K395" s="24"/>
      <c r="L395" s="24"/>
      <c r="M395" s="208"/>
      <c r="N395" s="24"/>
      <c r="O395" s="24"/>
      <c r="P395" s="24"/>
      <c r="Q395" s="24"/>
      <c r="R395" s="24"/>
      <c r="S395" s="24"/>
      <c r="T395" s="24"/>
      <c r="U395" s="25"/>
    </row>
    <row r="396" spans="2:23" x14ac:dyDescent="0.25">
      <c r="B396" s="7"/>
      <c r="C396" s="8"/>
      <c r="D396" s="8"/>
      <c r="E396" s="8"/>
      <c r="F396" s="8"/>
      <c r="G396" s="8"/>
      <c r="H396" s="220"/>
      <c r="I396" s="220"/>
      <c r="J396" s="8"/>
      <c r="K396" s="8"/>
      <c r="L396" s="8"/>
      <c r="M396" s="220"/>
      <c r="N396" s="8"/>
      <c r="O396" s="8"/>
      <c r="P396" s="8"/>
      <c r="Q396" s="8"/>
      <c r="R396" s="8"/>
      <c r="S396" s="8"/>
      <c r="T396" s="8"/>
      <c r="U396" s="9"/>
    </row>
    <row r="397" spans="2:23" x14ac:dyDescent="0.25">
      <c r="B397" s="10"/>
      <c r="C397" s="733" t="s">
        <v>504</v>
      </c>
      <c r="D397" s="733"/>
      <c r="E397" s="733"/>
      <c r="F397" s="733"/>
      <c r="G397" s="733"/>
      <c r="H397" s="733"/>
      <c r="I397" s="733"/>
      <c r="J397" s="733"/>
      <c r="K397" s="733"/>
      <c r="L397" s="733"/>
      <c r="M397" s="733"/>
      <c r="N397" s="733"/>
      <c r="O397" s="3"/>
      <c r="P397" s="3"/>
      <c r="Q397" s="3"/>
      <c r="R397" s="3"/>
      <c r="S397" s="3"/>
      <c r="T397" s="3"/>
      <c r="U397" s="11"/>
    </row>
    <row r="398" spans="2:23" x14ac:dyDescent="0.25">
      <c r="B398" s="10"/>
      <c r="C398" s="733"/>
      <c r="D398" s="733"/>
      <c r="E398" s="733"/>
      <c r="F398" s="733"/>
      <c r="G398" s="733"/>
      <c r="H398" s="733"/>
      <c r="I398" s="733"/>
      <c r="J398" s="733"/>
      <c r="K398" s="733"/>
      <c r="L398" s="733"/>
      <c r="M398" s="733"/>
      <c r="N398" s="733"/>
      <c r="O398" s="3"/>
      <c r="P398" s="3"/>
      <c r="Q398" s="3"/>
      <c r="R398" s="3"/>
      <c r="S398" s="3"/>
      <c r="T398" s="3"/>
      <c r="U398" s="11"/>
    </row>
    <row r="399" spans="2:23" x14ac:dyDescent="0.25">
      <c r="B399" s="10"/>
      <c r="C399" s="3"/>
      <c r="D399" s="3"/>
      <c r="E399" s="3"/>
      <c r="F399" s="3"/>
      <c r="G399" s="3"/>
      <c r="H399" s="82"/>
      <c r="I399" s="82"/>
      <c r="J399" s="3"/>
      <c r="K399" s="3"/>
      <c r="L399" s="3"/>
      <c r="M399" s="82"/>
      <c r="N399" s="3"/>
      <c r="O399" s="3"/>
      <c r="P399" s="3"/>
      <c r="Q399" s="3"/>
      <c r="R399" s="3"/>
      <c r="S399" s="3"/>
      <c r="T399" s="3"/>
      <c r="U399" s="11"/>
      <c r="V399" s="3"/>
      <c r="W399" s="3"/>
    </row>
    <row r="400" spans="2:23" x14ac:dyDescent="0.25">
      <c r="B400" s="10"/>
      <c r="C400" s="3"/>
      <c r="D400" s="270" t="s">
        <v>204</v>
      </c>
      <c r="E400" s="270"/>
      <c r="F400" s="270"/>
      <c r="G400" s="270"/>
      <c r="H400" s="270"/>
      <c r="I400" s="270"/>
      <c r="J400" s="270"/>
      <c r="K400" s="270"/>
      <c r="L400" s="270"/>
      <c r="M400" s="3"/>
      <c r="N400" s="3"/>
      <c r="O400" s="3"/>
      <c r="P400" s="3"/>
      <c r="Q400" s="3"/>
      <c r="R400" s="3"/>
      <c r="S400" s="3"/>
      <c r="T400" s="3"/>
      <c r="U400" s="11"/>
    </row>
    <row r="401" spans="2:21" x14ac:dyDescent="0.25">
      <c r="B401" s="10"/>
      <c r="C401" s="3"/>
      <c r="D401" s="125"/>
      <c r="E401" s="125"/>
      <c r="F401" s="269" t="s">
        <v>12</v>
      </c>
      <c r="G401" s="269"/>
      <c r="H401" s="269" t="s">
        <v>13</v>
      </c>
      <c r="I401" s="269"/>
      <c r="J401" s="613"/>
      <c r="K401" s="137"/>
      <c r="L401" s="136"/>
      <c r="M401" s="3"/>
      <c r="N401" s="3"/>
      <c r="O401" s="3"/>
      <c r="P401" s="3"/>
      <c r="Q401" s="3"/>
      <c r="R401" s="3"/>
      <c r="S401" s="3"/>
      <c r="T401" s="3"/>
      <c r="U401" s="11"/>
    </row>
    <row r="402" spans="2:21" ht="15" customHeight="1" x14ac:dyDescent="0.25">
      <c r="B402" s="10"/>
      <c r="C402" s="3"/>
      <c r="D402" s="268" t="s">
        <v>437</v>
      </c>
      <c r="E402" s="268"/>
      <c r="F402" s="824">
        <f>($F$16/(4*(PI()^2)))*($F$7*$F$8/$F$6)*$D$59*E263*(T7^2)</f>
        <v>9.6512144688940502</v>
      </c>
      <c r="G402" s="139" t="s">
        <v>51</v>
      </c>
      <c r="H402" s="825">
        <f>($F$16/(4*(PI()^2)))*($F$7*$F$8/$F$6)*$D$59*F263*(T8^2)</f>
        <v>7.4139838941066456</v>
      </c>
      <c r="I402" s="826" t="s">
        <v>51</v>
      </c>
      <c r="J402" s="777" t="s">
        <v>438</v>
      </c>
      <c r="K402" s="778"/>
      <c r="L402" s="779" t="s">
        <v>435</v>
      </c>
      <c r="M402" s="3"/>
      <c r="N402" s="3"/>
      <c r="O402" s="3"/>
      <c r="P402" s="3"/>
      <c r="Q402" s="3"/>
      <c r="R402" s="3"/>
      <c r="S402" s="3"/>
      <c r="T402" s="3"/>
      <c r="U402" s="11"/>
    </row>
    <row r="403" spans="2:21" ht="15" customHeight="1" x14ac:dyDescent="0.25">
      <c r="B403" s="10"/>
      <c r="C403" s="3"/>
      <c r="D403" s="222"/>
      <c r="E403" s="222"/>
      <c r="F403" s="824"/>
      <c r="G403" s="139"/>
      <c r="H403" s="825"/>
      <c r="I403" s="826"/>
      <c r="J403" s="777"/>
      <c r="K403" s="778"/>
      <c r="L403" s="779"/>
      <c r="M403" s="3"/>
      <c r="N403" s="3"/>
      <c r="O403" s="3"/>
      <c r="P403" s="3"/>
      <c r="Q403" s="3"/>
      <c r="R403" s="3"/>
      <c r="S403" s="3"/>
      <c r="T403" s="3"/>
      <c r="U403" s="11"/>
    </row>
    <row r="404" spans="2:21" ht="15" customHeight="1" x14ac:dyDescent="0.25">
      <c r="B404" s="10"/>
      <c r="C404" s="3"/>
      <c r="D404" s="194"/>
      <c r="E404" s="194"/>
      <c r="F404" s="609"/>
      <c r="G404" s="136"/>
      <c r="H404" s="188"/>
      <c r="I404" s="155"/>
      <c r="J404" s="186"/>
      <c r="K404" s="603"/>
      <c r="L404" s="781"/>
      <c r="M404" s="3"/>
      <c r="N404" s="3"/>
      <c r="O404" s="3"/>
      <c r="P404" s="3"/>
      <c r="Q404" s="3"/>
      <c r="R404" s="3"/>
      <c r="S404" s="3"/>
      <c r="T404" s="3"/>
      <c r="U404" s="11"/>
    </row>
    <row r="405" spans="2:21" ht="15" customHeight="1" x14ac:dyDescent="0.25">
      <c r="B405" s="10"/>
      <c r="C405" s="3"/>
      <c r="D405" s="827" t="s">
        <v>502</v>
      </c>
      <c r="E405" s="827"/>
      <c r="F405" s="827"/>
      <c r="G405" s="827"/>
      <c r="H405" s="827"/>
      <c r="I405" s="827"/>
      <c r="J405" s="827"/>
      <c r="K405" s="827"/>
      <c r="L405" s="827"/>
      <c r="M405" s="3"/>
      <c r="N405" s="3"/>
      <c r="O405" s="3"/>
      <c r="P405" s="3"/>
      <c r="Q405" s="3"/>
      <c r="R405" s="3"/>
      <c r="S405" s="3"/>
      <c r="T405" s="3"/>
      <c r="U405" s="11"/>
    </row>
    <row r="406" spans="2:21" ht="15" customHeight="1" x14ac:dyDescent="0.25">
      <c r="B406" s="10"/>
      <c r="C406" s="3"/>
      <c r="D406" s="828" t="s">
        <v>511</v>
      </c>
      <c r="E406" s="828"/>
      <c r="F406" s="829">
        <f>E302/F402</f>
        <v>1.5376499090668683</v>
      </c>
      <c r="G406" s="829"/>
      <c r="H406" s="829">
        <f>G302/H402</f>
        <v>1.5417122940932875</v>
      </c>
      <c r="I406" s="829"/>
      <c r="J406" s="777" t="s">
        <v>439</v>
      </c>
      <c r="K406" s="778"/>
      <c r="L406" s="830" t="s">
        <v>436</v>
      </c>
      <c r="M406" s="3"/>
      <c r="N406" s="3"/>
      <c r="O406" s="3"/>
      <c r="P406" s="3"/>
      <c r="Q406" s="3"/>
      <c r="R406" s="3"/>
      <c r="S406" s="3"/>
      <c r="T406" s="3"/>
      <c r="U406" s="11"/>
    </row>
    <row r="407" spans="2:21" ht="15" customHeight="1" x14ac:dyDescent="0.25">
      <c r="B407" s="10"/>
      <c r="C407" s="3"/>
      <c r="D407" s="801" t="s">
        <v>508</v>
      </c>
      <c r="E407" s="801"/>
      <c r="F407" s="831">
        <f>D187</f>
        <v>1.5</v>
      </c>
      <c r="G407" s="831"/>
      <c r="H407" s="831">
        <f>D187</f>
        <v>1.5</v>
      </c>
      <c r="I407" s="831"/>
      <c r="J407" s="832"/>
      <c r="K407" s="833"/>
      <c r="L407" s="833"/>
      <c r="M407" s="3"/>
      <c r="N407" s="3"/>
      <c r="O407" s="3"/>
      <c r="P407" s="3"/>
      <c r="Q407" s="3"/>
      <c r="R407" s="3"/>
      <c r="S407" s="3"/>
      <c r="T407" s="3"/>
      <c r="U407" s="11"/>
    </row>
    <row r="408" spans="2:21" ht="15" customHeight="1" x14ac:dyDescent="0.25">
      <c r="B408" s="10"/>
      <c r="C408" s="3"/>
      <c r="D408" s="834"/>
      <c r="E408" s="834"/>
      <c r="F408" s="835" t="str">
        <f>IF(AND(F407/F406&gt;0.9,F407/F406&lt;1.1),"Similar","Correguir")</f>
        <v>Similar</v>
      </c>
      <c r="G408" s="835"/>
      <c r="H408" s="835" t="str">
        <f>IF(AND(H407/H406&gt;0.9,H407/H406&lt;1.1),"Similar","Correguir")</f>
        <v>Similar</v>
      </c>
      <c r="I408" s="835"/>
      <c r="J408" s="836"/>
      <c r="K408" s="837"/>
      <c r="L408" s="41"/>
      <c r="M408" s="3"/>
      <c r="N408" s="3"/>
      <c r="O408" s="3"/>
      <c r="P408" s="3"/>
      <c r="Q408" s="3"/>
      <c r="R408" s="3"/>
      <c r="S408" s="3"/>
      <c r="T408" s="3"/>
      <c r="U408" s="11"/>
    </row>
    <row r="409" spans="2:21" ht="15" customHeight="1" x14ac:dyDescent="0.25">
      <c r="B409" s="10"/>
      <c r="C409" s="3"/>
      <c r="D409" s="838"/>
      <c r="E409" s="838"/>
      <c r="F409" s="839"/>
      <c r="G409" s="839"/>
      <c r="H409" s="839"/>
      <c r="I409" s="839"/>
      <c r="J409" s="840"/>
      <c r="K409" s="841"/>
      <c r="L409" s="427"/>
      <c r="M409" s="3"/>
      <c r="N409" s="3"/>
      <c r="O409" s="3"/>
      <c r="P409" s="3"/>
      <c r="Q409" s="3"/>
      <c r="R409" s="3"/>
      <c r="S409" s="3"/>
      <c r="T409" s="3"/>
      <c r="U409" s="11"/>
    </row>
    <row r="410" spans="2:21" ht="15" customHeight="1" x14ac:dyDescent="0.25">
      <c r="B410" s="10"/>
      <c r="C410" s="3"/>
      <c r="D410" s="834"/>
      <c r="E410" s="834"/>
      <c r="F410" s="842"/>
      <c r="G410" s="842"/>
      <c r="H410" s="842"/>
      <c r="I410" s="842"/>
      <c r="J410" s="836"/>
      <c r="K410" s="837"/>
      <c r="L410" s="41"/>
      <c r="M410" s="3"/>
      <c r="N410" s="3"/>
      <c r="O410" s="3"/>
      <c r="P410" s="3"/>
      <c r="Q410" s="3"/>
      <c r="R410" s="3"/>
      <c r="S410" s="3"/>
      <c r="T410" s="3"/>
      <c r="U410" s="11"/>
    </row>
    <row r="411" spans="2:21" ht="15" customHeight="1" x14ac:dyDescent="0.25">
      <c r="B411" s="10"/>
      <c r="C411" s="3"/>
      <c r="D411" s="827" t="s">
        <v>503</v>
      </c>
      <c r="E411" s="827"/>
      <c r="F411" s="827"/>
      <c r="G411" s="827"/>
      <c r="H411" s="827"/>
      <c r="I411" s="827"/>
      <c r="J411" s="827"/>
      <c r="K411" s="827"/>
      <c r="L411" s="827"/>
      <c r="M411" s="3"/>
      <c r="N411" s="3"/>
      <c r="O411" s="3"/>
      <c r="P411" s="3"/>
      <c r="Q411" s="3"/>
      <c r="R411" s="3"/>
      <c r="S411" s="3"/>
      <c r="T411" s="3"/>
      <c r="U411" s="11"/>
    </row>
    <row r="412" spans="2:21" ht="15" customHeight="1" x14ac:dyDescent="0.25">
      <c r="B412" s="10"/>
      <c r="C412" s="3"/>
      <c r="D412" s="386" t="s">
        <v>510</v>
      </c>
      <c r="E412" s="386"/>
      <c r="F412" s="843">
        <f>E353/F402</f>
        <v>2.3669325994243233</v>
      </c>
      <c r="G412" s="843"/>
      <c r="H412" s="843">
        <f>G353/H402</f>
        <v>2.3844860153888985</v>
      </c>
      <c r="I412" s="843"/>
      <c r="J412" s="186" t="s">
        <v>439</v>
      </c>
      <c r="K412" s="603"/>
      <c r="L412" s="725" t="s">
        <v>440</v>
      </c>
      <c r="M412" s="3"/>
      <c r="N412" s="82"/>
      <c r="O412" s="3"/>
      <c r="P412" s="3"/>
      <c r="Q412" s="3"/>
      <c r="R412" s="3"/>
      <c r="S412" s="3"/>
      <c r="T412" s="3"/>
      <c r="U412" s="11"/>
    </row>
    <row r="413" spans="2:21" ht="15" customHeight="1" x14ac:dyDescent="0.25">
      <c r="B413" s="10"/>
      <c r="C413" s="3"/>
      <c r="D413" s="801" t="s">
        <v>509</v>
      </c>
      <c r="E413" s="801"/>
      <c r="F413" s="831">
        <f>D188</f>
        <v>2.5</v>
      </c>
      <c r="G413" s="831"/>
      <c r="H413" s="831">
        <f>F413</f>
        <v>2.5</v>
      </c>
      <c r="I413" s="831"/>
      <c r="J413" s="832"/>
      <c r="K413" s="833"/>
      <c r="L413" s="833"/>
      <c r="M413" s="3"/>
      <c r="N413" s="82"/>
      <c r="O413" s="3"/>
      <c r="P413" s="3"/>
      <c r="Q413" s="3"/>
      <c r="R413" s="3"/>
      <c r="S413" s="3"/>
      <c r="T413" s="3"/>
      <c r="U413" s="11"/>
    </row>
    <row r="414" spans="2:21" ht="15" customHeight="1" x14ac:dyDescent="0.25">
      <c r="B414" s="10"/>
      <c r="C414" s="3"/>
      <c r="D414" s="844"/>
      <c r="E414" s="844"/>
      <c r="F414" s="845" t="str">
        <f>IF(AND(F413/F412&gt;0.9,F413/F412&lt;1.1),"Similar","Correguir")</f>
        <v>Similar</v>
      </c>
      <c r="G414" s="845"/>
      <c r="H414" s="845" t="str">
        <f>IF(AND(H413/H412&gt;0.9,H413/H412&lt;1.1),"Similar","Correguir")</f>
        <v>Similar</v>
      </c>
      <c r="I414" s="845"/>
      <c r="J414" s="846"/>
      <c r="K414" s="847"/>
      <c r="L414" s="55"/>
      <c r="M414" s="3"/>
      <c r="N414" s="82"/>
      <c r="O414" s="3"/>
      <c r="P414" s="3"/>
      <c r="Q414" s="3"/>
      <c r="R414" s="3"/>
      <c r="S414" s="3"/>
      <c r="T414" s="3"/>
      <c r="U414" s="11"/>
    </row>
    <row r="415" spans="2:21" ht="15" customHeight="1" x14ac:dyDescent="0.25">
      <c r="B415" s="10"/>
      <c r="C415" s="3"/>
      <c r="D415" s="427"/>
      <c r="E415" s="427"/>
      <c r="F415" s="427"/>
      <c r="G415" s="427"/>
      <c r="H415" s="848"/>
      <c r="I415" s="848"/>
      <c r="J415" s="427"/>
      <c r="K415" s="427"/>
      <c r="L415" s="427"/>
      <c r="M415" s="209"/>
      <c r="N415" s="3"/>
      <c r="O415" s="3"/>
      <c r="P415" s="3"/>
      <c r="Q415" s="3"/>
      <c r="R415" s="3"/>
      <c r="S415" s="3"/>
      <c r="T415" s="3"/>
      <c r="U415" s="11"/>
    </row>
    <row r="416" spans="2:21" ht="15" customHeight="1" thickBot="1" x14ac:dyDescent="0.3">
      <c r="B416" s="23"/>
      <c r="C416" s="24"/>
      <c r="D416" s="24"/>
      <c r="E416" s="24"/>
      <c r="F416" s="24"/>
      <c r="G416" s="24"/>
      <c r="H416" s="208"/>
      <c r="I416" s="208"/>
      <c r="J416" s="24"/>
      <c r="K416" s="24"/>
      <c r="L416" s="24"/>
      <c r="M416" s="208"/>
      <c r="N416" s="24"/>
      <c r="O416" s="24"/>
      <c r="P416" s="24"/>
      <c r="Q416" s="24"/>
      <c r="R416" s="24"/>
      <c r="S416" s="24"/>
      <c r="T416" s="24"/>
      <c r="U416" s="25"/>
    </row>
    <row r="417" spans="2:21" ht="15" customHeight="1" x14ac:dyDescent="0.25">
      <c r="B417" s="7"/>
      <c r="C417" s="8"/>
      <c r="D417" s="8"/>
      <c r="E417" s="8"/>
      <c r="F417" s="8"/>
      <c r="G417" s="8"/>
      <c r="H417" s="220"/>
      <c r="I417" s="220"/>
      <c r="J417" s="8"/>
      <c r="K417" s="8"/>
      <c r="L417" s="8"/>
      <c r="M417" s="220"/>
      <c r="N417" s="8"/>
      <c r="O417" s="8"/>
      <c r="P417" s="8"/>
      <c r="Q417" s="8"/>
      <c r="R417" s="8"/>
      <c r="S417" s="8"/>
      <c r="T417" s="8"/>
      <c r="U417" s="9"/>
    </row>
    <row r="418" spans="2:21" ht="15" customHeight="1" x14ac:dyDescent="0.25">
      <c r="B418" s="10"/>
      <c r="C418" s="733" t="s">
        <v>505</v>
      </c>
      <c r="D418" s="733"/>
      <c r="E418" s="733"/>
      <c r="F418" s="733"/>
      <c r="G418" s="733"/>
      <c r="H418" s="733"/>
      <c r="I418" s="733"/>
      <c r="J418" s="733"/>
      <c r="K418" s="733"/>
      <c r="L418" s="733"/>
      <c r="M418" s="733"/>
      <c r="N418" s="733"/>
      <c r="O418" s="3"/>
      <c r="P418" s="3"/>
      <c r="Q418" s="3"/>
      <c r="R418" s="3"/>
      <c r="S418" s="3"/>
      <c r="T418" s="3"/>
      <c r="U418" s="11"/>
    </row>
    <row r="419" spans="2:21" ht="15" customHeight="1" x14ac:dyDescent="0.25">
      <c r="B419" s="10"/>
      <c r="C419" s="733"/>
      <c r="D419" s="733"/>
      <c r="E419" s="733"/>
      <c r="F419" s="733"/>
      <c r="G419" s="733"/>
      <c r="H419" s="733"/>
      <c r="I419" s="733"/>
      <c r="J419" s="733"/>
      <c r="K419" s="733"/>
      <c r="L419" s="733"/>
      <c r="M419" s="733"/>
      <c r="N419" s="733"/>
      <c r="O419" s="3"/>
      <c r="P419" s="3"/>
      <c r="Q419" s="3"/>
      <c r="R419" s="3"/>
      <c r="S419" s="3"/>
      <c r="T419" s="3"/>
      <c r="U419" s="11"/>
    </row>
    <row r="420" spans="2:21" ht="15" customHeight="1" x14ac:dyDescent="0.25">
      <c r="B420" s="10"/>
      <c r="C420" s="3"/>
      <c r="D420" s="3"/>
      <c r="E420" s="3"/>
      <c r="F420" s="3"/>
      <c r="G420" s="3"/>
      <c r="H420" s="82"/>
      <c r="I420" s="8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11"/>
    </row>
    <row r="421" spans="2:21" ht="15" customHeight="1" x14ac:dyDescent="0.25">
      <c r="B421" s="10"/>
      <c r="C421" s="3"/>
      <c r="D421" s="250" t="s">
        <v>506</v>
      </c>
      <c r="E421" s="250"/>
      <c r="F421" s="250"/>
      <c r="G421" s="250"/>
      <c r="H421" s="250"/>
      <c r="I421" s="8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11"/>
    </row>
    <row r="422" spans="2:21" ht="15" customHeight="1" thickBot="1" x14ac:dyDescent="0.3">
      <c r="B422" s="10"/>
      <c r="C422" s="3"/>
      <c r="D422" s="194" t="s">
        <v>22</v>
      </c>
      <c r="E422" s="270" t="s">
        <v>12</v>
      </c>
      <c r="F422" s="270"/>
      <c r="G422" s="270" t="s">
        <v>13</v>
      </c>
      <c r="H422" s="270"/>
      <c r="I422" s="8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11"/>
    </row>
    <row r="423" spans="2:21" ht="15" customHeight="1" x14ac:dyDescent="0.25">
      <c r="B423" s="10"/>
      <c r="C423" s="3"/>
      <c r="D423" s="123" t="s">
        <v>14</v>
      </c>
      <c r="E423" s="849">
        <f>G323/((M8-M9)*12)</f>
        <v>1.7487930034948716E-2</v>
      </c>
      <c r="F423" s="849"/>
      <c r="G423" s="849">
        <f>K323/((M8-M9)*12)</f>
        <v>1.3420124640163591E-2</v>
      </c>
      <c r="H423" s="849"/>
      <c r="I423" s="82"/>
      <c r="J423" s="850" t="str">
        <f>IF(AND(G430="OK",E430="OK"),"EL DISEÑO DE LA EDIFICACION Y LOS DISIPADORES ES CORRECTA, YA QUE LA RAZON DE DERIVA ES MENOR AL 2%"," DADO QUE LA RAZON DE DERIVA ES SUPERIOR AL 2% SE REQUIERE MODIFICAR LA CONSTANTE DE AMORTIGUAMEINTO")</f>
        <v>EL DISEÑO DE LA EDIFICACION Y LOS DISIPADORES ES CORRECTA, YA QUE LA RAZON DE DERIVA ES MENOR AL 2%</v>
      </c>
      <c r="K423" s="851"/>
      <c r="L423" s="851"/>
      <c r="M423" s="852"/>
      <c r="N423" s="3"/>
      <c r="O423" s="3"/>
      <c r="P423" s="3"/>
      <c r="Q423" s="3"/>
      <c r="R423" s="3"/>
      <c r="S423" s="3"/>
      <c r="T423" s="3"/>
      <c r="U423" s="11"/>
    </row>
    <row r="424" spans="2:21" ht="15" customHeight="1" x14ac:dyDescent="0.25">
      <c r="B424" s="10"/>
      <c r="C424" s="3"/>
      <c r="D424" s="124" t="s">
        <v>147</v>
      </c>
      <c r="E424" s="853">
        <f>G324/((M9-M10)*12)</f>
        <v>1.7487930034948716E-2</v>
      </c>
      <c r="F424" s="853"/>
      <c r="G424" s="853">
        <f>K324/((M9-M10)*12)</f>
        <v>1.3420124640163596E-2</v>
      </c>
      <c r="H424" s="853"/>
      <c r="I424" s="82"/>
      <c r="J424" s="854"/>
      <c r="K424" s="855"/>
      <c r="L424" s="855"/>
      <c r="M424" s="856"/>
      <c r="N424" s="3"/>
      <c r="O424" s="3"/>
      <c r="P424" s="3"/>
      <c r="Q424" s="3"/>
      <c r="R424" s="3"/>
      <c r="S424" s="3"/>
      <c r="T424" s="3"/>
      <c r="U424" s="11"/>
    </row>
    <row r="425" spans="2:21" ht="15" customHeight="1" x14ac:dyDescent="0.25">
      <c r="B425" s="10"/>
      <c r="C425" s="3"/>
      <c r="D425" s="230" t="s">
        <v>17</v>
      </c>
      <c r="E425" s="853">
        <f>G325/((M10-M11)*12)</f>
        <v>1.7487930034948716E-2</v>
      </c>
      <c r="F425" s="853"/>
      <c r="G425" s="853">
        <f>K325/((M10-M11)*12)</f>
        <v>1.3420124640163591E-2</v>
      </c>
      <c r="H425" s="853"/>
      <c r="I425" s="82"/>
      <c r="J425" s="854"/>
      <c r="K425" s="855"/>
      <c r="L425" s="855"/>
      <c r="M425" s="856"/>
      <c r="N425" s="3"/>
      <c r="O425" s="3"/>
      <c r="P425" s="3"/>
      <c r="Q425" s="3"/>
      <c r="R425" s="3"/>
      <c r="S425" s="3"/>
      <c r="T425" s="3"/>
      <c r="U425" s="11"/>
    </row>
    <row r="426" spans="2:21" ht="15" customHeight="1" x14ac:dyDescent="0.25">
      <c r="B426" s="10"/>
      <c r="C426" s="3"/>
      <c r="D426" s="124" t="s">
        <v>18</v>
      </c>
      <c r="E426" s="853">
        <f>G326/((M11-M12)*12)</f>
        <v>1.7487930034948716E-2</v>
      </c>
      <c r="F426" s="853"/>
      <c r="G426" s="853">
        <f>K326/((M11-M12)*12)</f>
        <v>1.3420124640163593E-2</v>
      </c>
      <c r="H426" s="853"/>
      <c r="I426" s="82"/>
      <c r="J426" s="854"/>
      <c r="K426" s="855"/>
      <c r="L426" s="855"/>
      <c r="M426" s="856"/>
      <c r="N426" s="3"/>
      <c r="O426" s="3"/>
      <c r="P426" s="3"/>
      <c r="Q426" s="3"/>
      <c r="R426" s="3"/>
      <c r="S426" s="3"/>
      <c r="T426" s="3"/>
      <c r="U426" s="11"/>
    </row>
    <row r="427" spans="2:21" ht="15" customHeight="1" x14ac:dyDescent="0.25">
      <c r="B427" s="10"/>
      <c r="C427" s="3"/>
      <c r="D427" s="230" t="s">
        <v>19</v>
      </c>
      <c r="E427" s="853">
        <f>G327/((M12-M13)*12)</f>
        <v>1.7487930034948716E-2</v>
      </c>
      <c r="F427" s="853"/>
      <c r="G427" s="853">
        <f>K327/((M12-M13)*12)</f>
        <v>1.3420124640163593E-2</v>
      </c>
      <c r="H427" s="853"/>
      <c r="I427" s="82"/>
      <c r="J427" s="854"/>
      <c r="K427" s="855"/>
      <c r="L427" s="855"/>
      <c r="M427" s="856"/>
      <c r="N427" s="3"/>
      <c r="O427" s="3"/>
      <c r="P427" s="3"/>
      <c r="Q427" s="3"/>
      <c r="R427" s="3"/>
      <c r="S427" s="3"/>
      <c r="T427" s="3"/>
      <c r="U427" s="11"/>
    </row>
    <row r="428" spans="2:21" ht="15" customHeight="1" x14ac:dyDescent="0.25">
      <c r="B428" s="10"/>
      <c r="C428" s="3"/>
      <c r="D428" s="124" t="s">
        <v>16</v>
      </c>
      <c r="E428" s="853">
        <f>G328/((M13-M14)*12)</f>
        <v>1.9865448621983972E-2</v>
      </c>
      <c r="F428" s="853"/>
      <c r="G428" s="853">
        <f>K328/((M13-M14)*12)</f>
        <v>1.4894891573031128E-2</v>
      </c>
      <c r="H428" s="853"/>
      <c r="I428" s="82"/>
      <c r="J428" s="854"/>
      <c r="K428" s="855"/>
      <c r="L428" s="855"/>
      <c r="M428" s="856"/>
      <c r="N428" s="3"/>
      <c r="O428" s="3"/>
      <c r="P428" s="3"/>
      <c r="Q428" s="3"/>
      <c r="R428" s="3"/>
      <c r="S428" s="3"/>
      <c r="T428" s="3"/>
      <c r="U428" s="11"/>
    </row>
    <row r="429" spans="2:21" ht="15" customHeight="1" thickBot="1" x14ac:dyDescent="0.3">
      <c r="B429" s="10"/>
      <c r="C429" s="3"/>
      <c r="D429" s="124" t="s">
        <v>30</v>
      </c>
      <c r="E429" s="853">
        <v>0</v>
      </c>
      <c r="F429" s="853"/>
      <c r="G429" s="853">
        <v>0</v>
      </c>
      <c r="H429" s="853"/>
      <c r="I429" s="82"/>
      <c r="J429" s="857"/>
      <c r="K429" s="858"/>
      <c r="L429" s="858"/>
      <c r="M429" s="859"/>
      <c r="N429" s="3"/>
      <c r="O429" s="3"/>
      <c r="P429" s="3"/>
      <c r="Q429" s="3"/>
      <c r="R429" s="3"/>
      <c r="S429" s="3"/>
      <c r="T429" s="3"/>
      <c r="U429" s="11"/>
    </row>
    <row r="430" spans="2:21" ht="15.75" customHeight="1" x14ac:dyDescent="0.25">
      <c r="B430" s="10"/>
      <c r="C430" s="3"/>
      <c r="D430" s="15"/>
      <c r="E430" s="860" t="str">
        <f>IF(MAX(E423:E429)&gt;0.02," NO Cumple","OK")</f>
        <v>OK</v>
      </c>
      <c r="F430" s="860"/>
      <c r="G430" s="860" t="str">
        <f>IF(MAX(G423:G429)&gt;0.02," NO Cumple","OK")</f>
        <v>OK</v>
      </c>
      <c r="H430" s="860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11"/>
    </row>
    <row r="431" spans="2:21" x14ac:dyDescent="0.25">
      <c r="B431" s="10"/>
      <c r="C431" s="3"/>
      <c r="D431" s="3"/>
      <c r="E431" s="3"/>
      <c r="F431" s="3"/>
      <c r="G431" s="3"/>
      <c r="H431" s="3"/>
      <c r="I431" s="82"/>
      <c r="J431" s="3"/>
      <c r="K431" s="3"/>
      <c r="L431" s="3"/>
      <c r="M431" s="82"/>
      <c r="N431" s="3"/>
      <c r="O431" s="3"/>
      <c r="P431" s="3"/>
      <c r="Q431" s="3"/>
      <c r="R431" s="3"/>
      <c r="S431" s="3"/>
      <c r="T431" s="3"/>
      <c r="U431" s="11"/>
    </row>
    <row r="432" spans="2:21" ht="15.75" thickBot="1" x14ac:dyDescent="0.3">
      <c r="B432" s="23"/>
      <c r="C432" s="24"/>
      <c r="D432" s="24"/>
      <c r="E432" s="24"/>
      <c r="F432" s="24"/>
      <c r="G432" s="24"/>
      <c r="H432" s="24"/>
      <c r="I432" s="208"/>
      <c r="J432" s="24"/>
      <c r="K432" s="24"/>
      <c r="L432" s="24"/>
      <c r="M432" s="208"/>
      <c r="N432" s="24"/>
      <c r="O432" s="24"/>
      <c r="P432" s="24"/>
      <c r="Q432" s="24"/>
      <c r="R432" s="24"/>
      <c r="S432" s="24"/>
      <c r="T432" s="24"/>
      <c r="U432" s="25"/>
    </row>
    <row r="433" spans="2:21" x14ac:dyDescent="0.25">
      <c r="B433" s="1"/>
      <c r="C433" s="1"/>
      <c r="D433" s="1"/>
      <c r="E433" s="1"/>
      <c r="F433" s="1"/>
      <c r="G433" s="1"/>
      <c r="H433" s="1"/>
      <c r="I433" s="576"/>
      <c r="J433" s="1"/>
      <c r="K433" s="1"/>
      <c r="L433" s="1"/>
      <c r="M433" s="576"/>
      <c r="N433" s="1"/>
      <c r="O433" s="1"/>
      <c r="P433" s="1"/>
      <c r="Q433" s="1"/>
      <c r="R433" s="1"/>
    </row>
    <row r="434" spans="2:21" ht="15.75" thickBot="1" x14ac:dyDescent="0.3">
      <c r="B434" s="1"/>
      <c r="C434" s="1"/>
      <c r="D434" s="1"/>
      <c r="E434" s="1"/>
      <c r="F434" s="1"/>
      <c r="G434" s="1"/>
      <c r="H434" s="1"/>
      <c r="I434" s="576"/>
      <c r="J434" s="1"/>
      <c r="K434" s="1"/>
      <c r="L434" s="1"/>
      <c r="M434" s="576"/>
      <c r="N434" s="1"/>
      <c r="O434" s="1"/>
      <c r="P434" s="1"/>
      <c r="Q434" s="1"/>
      <c r="R434" s="1"/>
    </row>
    <row r="435" spans="2:21" ht="15" customHeight="1" x14ac:dyDescent="0.25">
      <c r="B435" s="480" t="s">
        <v>512</v>
      </c>
      <c r="C435" s="481"/>
      <c r="D435" s="481"/>
      <c r="E435" s="481"/>
      <c r="F435" s="481"/>
      <c r="G435" s="481"/>
      <c r="H435" s="481"/>
      <c r="I435" s="481"/>
      <c r="J435" s="481"/>
      <c r="K435" s="481"/>
      <c r="L435" s="481"/>
      <c r="M435" s="481"/>
      <c r="N435" s="481"/>
      <c r="O435" s="481"/>
      <c r="P435" s="481"/>
      <c r="Q435" s="481"/>
      <c r="R435" s="481"/>
      <c r="S435" s="481"/>
      <c r="T435" s="481"/>
      <c r="U435" s="482"/>
    </row>
    <row r="436" spans="2:21" ht="15.75" customHeight="1" thickBot="1" x14ac:dyDescent="0.3">
      <c r="B436" s="483"/>
      <c r="C436" s="484"/>
      <c r="D436" s="484"/>
      <c r="E436" s="484"/>
      <c r="F436" s="484"/>
      <c r="G436" s="484"/>
      <c r="H436" s="484"/>
      <c r="I436" s="484"/>
      <c r="J436" s="484"/>
      <c r="K436" s="484"/>
      <c r="L436" s="484"/>
      <c r="M436" s="484"/>
      <c r="N436" s="484"/>
      <c r="O436" s="484"/>
      <c r="P436" s="484"/>
      <c r="Q436" s="484"/>
      <c r="R436" s="484"/>
      <c r="S436" s="484"/>
      <c r="T436" s="484"/>
      <c r="U436" s="485"/>
    </row>
    <row r="437" spans="2:21" x14ac:dyDescent="0.25">
      <c r="B437" s="7"/>
      <c r="C437" s="8"/>
      <c r="D437" s="8"/>
      <c r="E437" s="8"/>
      <c r="F437" s="8"/>
      <c r="G437" s="8"/>
      <c r="H437" s="220"/>
      <c r="I437" s="220"/>
      <c r="J437" s="8"/>
      <c r="K437" s="8"/>
      <c r="L437" s="8"/>
      <c r="M437" s="220"/>
      <c r="N437" s="8"/>
      <c r="O437" s="8"/>
      <c r="P437" s="8"/>
      <c r="Q437" s="8"/>
      <c r="R437" s="8"/>
      <c r="S437" s="8"/>
      <c r="T437" s="8"/>
      <c r="U437" s="9"/>
    </row>
    <row r="438" spans="2:21" x14ac:dyDescent="0.25">
      <c r="B438" s="10"/>
      <c r="C438" s="733" t="s">
        <v>502</v>
      </c>
      <c r="D438" s="733"/>
      <c r="E438" s="733"/>
      <c r="F438" s="733"/>
      <c r="G438" s="733"/>
      <c r="H438" s="733"/>
      <c r="I438" s="733"/>
      <c r="J438" s="733"/>
      <c r="K438" s="733"/>
      <c r="L438" s="733"/>
      <c r="M438" s="733"/>
      <c r="N438" s="733"/>
      <c r="O438" s="3"/>
      <c r="P438" s="3"/>
      <c r="Q438" s="3"/>
      <c r="R438" s="3"/>
      <c r="S438" s="3"/>
      <c r="T438" s="3"/>
      <c r="U438" s="11"/>
    </row>
    <row r="439" spans="2:21" x14ac:dyDescent="0.25">
      <c r="B439" s="10"/>
      <c r="C439" s="733"/>
      <c r="D439" s="733"/>
      <c r="E439" s="733"/>
      <c r="F439" s="733"/>
      <c r="G439" s="733"/>
      <c r="H439" s="733"/>
      <c r="I439" s="733"/>
      <c r="J439" s="733"/>
      <c r="K439" s="733"/>
      <c r="L439" s="733"/>
      <c r="M439" s="733"/>
      <c r="N439" s="733"/>
      <c r="O439" s="3"/>
      <c r="P439" s="3"/>
      <c r="Q439" s="3"/>
      <c r="R439" s="3"/>
      <c r="S439" s="3"/>
      <c r="T439" s="3"/>
      <c r="U439" s="11"/>
    </row>
    <row r="440" spans="2:21" x14ac:dyDescent="0.25">
      <c r="B440" s="10"/>
      <c r="C440" s="3"/>
      <c r="D440" s="3"/>
      <c r="E440" s="3"/>
      <c r="F440" s="3"/>
      <c r="G440" s="3"/>
      <c r="H440" s="82"/>
      <c r="I440" s="82"/>
      <c r="J440" s="3"/>
      <c r="K440" s="3"/>
      <c r="L440" s="3"/>
      <c r="M440" s="82"/>
      <c r="N440" s="3"/>
      <c r="O440" s="3"/>
      <c r="P440" s="3"/>
      <c r="Q440" s="3"/>
      <c r="R440" s="3"/>
      <c r="S440" s="3"/>
      <c r="T440" s="3"/>
      <c r="U440" s="11"/>
    </row>
    <row r="441" spans="2:21" x14ac:dyDescent="0.25">
      <c r="B441" s="10"/>
      <c r="C441" s="3"/>
      <c r="D441" s="250" t="s">
        <v>441</v>
      </c>
      <c r="E441" s="250"/>
      <c r="F441" s="250"/>
      <c r="G441" s="250"/>
      <c r="H441" s="250"/>
      <c r="I441" s="250"/>
      <c r="J441" s="3"/>
      <c r="K441" s="3"/>
      <c r="L441" s="3"/>
      <c r="M441" s="82"/>
      <c r="N441" s="3"/>
      <c r="O441" s="3"/>
      <c r="P441" s="3"/>
      <c r="Q441" s="3"/>
      <c r="R441" s="3"/>
      <c r="S441" s="3"/>
      <c r="T441" s="3"/>
      <c r="U441" s="11"/>
    </row>
    <row r="442" spans="2:21" ht="15.75" customHeight="1" x14ac:dyDescent="0.25">
      <c r="B442" s="10"/>
      <c r="C442" s="3"/>
      <c r="D442" s="566" t="s">
        <v>22</v>
      </c>
      <c r="E442" s="265" t="s">
        <v>140</v>
      </c>
      <c r="F442" s="265"/>
      <c r="G442" s="224"/>
      <c r="H442" s="861" t="s">
        <v>139</v>
      </c>
      <c r="I442" s="861"/>
      <c r="J442" s="3"/>
      <c r="K442" s="3"/>
      <c r="L442" s="3"/>
      <c r="M442" s="82"/>
      <c r="N442" s="3"/>
      <c r="O442" s="3"/>
      <c r="P442" s="3"/>
      <c r="Q442" s="3"/>
      <c r="R442" s="3"/>
      <c r="S442" s="3"/>
      <c r="T442" s="3"/>
      <c r="U442" s="11"/>
    </row>
    <row r="443" spans="2:21" ht="13.5" customHeight="1" x14ac:dyDescent="0.25">
      <c r="B443" s="10"/>
      <c r="C443" s="3"/>
      <c r="D443" s="566"/>
      <c r="E443" s="763" t="s">
        <v>445</v>
      </c>
      <c r="F443" s="763"/>
      <c r="G443" s="800"/>
      <c r="H443" s="862"/>
      <c r="I443" s="862"/>
      <c r="J443" s="3"/>
      <c r="K443" s="3"/>
      <c r="L443" s="3"/>
      <c r="M443" s="82"/>
      <c r="N443" s="3"/>
      <c r="O443" s="3"/>
      <c r="P443" s="3"/>
      <c r="Q443" s="3"/>
      <c r="R443" s="3"/>
      <c r="S443" s="3"/>
      <c r="T443" s="3"/>
      <c r="U443" s="11"/>
    </row>
    <row r="444" spans="2:21" x14ac:dyDescent="0.25">
      <c r="B444" s="10"/>
      <c r="C444" s="3"/>
      <c r="D444" s="269"/>
      <c r="E444" s="223" t="s">
        <v>12</v>
      </c>
      <c r="F444" s="223" t="s">
        <v>13</v>
      </c>
      <c r="G444" s="223"/>
      <c r="H444" s="223" t="s">
        <v>12</v>
      </c>
      <c r="I444" s="223" t="s">
        <v>13</v>
      </c>
      <c r="J444" s="3"/>
      <c r="K444" s="3"/>
      <c r="L444" s="3"/>
      <c r="M444" s="82"/>
      <c r="N444" s="3"/>
      <c r="O444" s="3"/>
      <c r="P444" s="3"/>
      <c r="Q444" s="3"/>
      <c r="R444" s="3"/>
      <c r="S444" s="3"/>
      <c r="T444" s="3"/>
      <c r="U444" s="11"/>
    </row>
    <row r="445" spans="2:21" x14ac:dyDescent="0.25">
      <c r="B445" s="10"/>
      <c r="C445" s="3"/>
      <c r="D445" s="124" t="s">
        <v>14</v>
      </c>
      <c r="E445" s="657">
        <f>G323</f>
        <v>2.5182619250326153</v>
      </c>
      <c r="F445" s="657">
        <f>K323</f>
        <v>1.9324979481835571</v>
      </c>
      <c r="G445" s="657"/>
      <c r="H445" s="863">
        <f>E445*'2. Propiedades de Disipador'!$D$36</f>
        <v>2.3381474989366255</v>
      </c>
      <c r="I445" s="863">
        <f>F445*'2. Propiedades de Disipador'!$D$36</f>
        <v>1.7942793000720225</v>
      </c>
      <c r="J445" s="3"/>
      <c r="K445" s="3"/>
      <c r="L445" s="3"/>
      <c r="M445" s="82"/>
      <c r="N445" s="3"/>
      <c r="O445" s="3"/>
      <c r="P445" s="3"/>
      <c r="Q445" s="3"/>
      <c r="R445" s="3"/>
      <c r="S445" s="3"/>
      <c r="T445" s="3"/>
      <c r="U445" s="11"/>
    </row>
    <row r="446" spans="2:21" x14ac:dyDescent="0.25">
      <c r="B446" s="10"/>
      <c r="C446" s="3"/>
      <c r="D446" s="124" t="s">
        <v>147</v>
      </c>
      <c r="E446" s="657">
        <f>G324</f>
        <v>2.5182619250326153</v>
      </c>
      <c r="F446" s="657">
        <f>K324</f>
        <v>1.9324979481835578</v>
      </c>
      <c r="G446" s="657"/>
      <c r="H446" s="863">
        <f>E446*'2. Propiedades de Disipador'!$D$36</f>
        <v>2.3381474989366255</v>
      </c>
      <c r="I446" s="863">
        <f>F446*'2. Propiedades de Disipador'!$D$36</f>
        <v>1.794279300072023</v>
      </c>
      <c r="J446" s="3"/>
      <c r="K446" s="3"/>
      <c r="L446" s="3"/>
      <c r="M446" s="82"/>
      <c r="N446" s="3"/>
      <c r="O446" s="3"/>
      <c r="P446" s="3"/>
      <c r="Q446" s="3"/>
      <c r="R446" s="3"/>
      <c r="S446" s="3"/>
      <c r="T446" s="3"/>
      <c r="U446" s="11"/>
    </row>
    <row r="447" spans="2:21" x14ac:dyDescent="0.25">
      <c r="B447" s="10"/>
      <c r="C447" s="3"/>
      <c r="D447" s="230" t="s">
        <v>17</v>
      </c>
      <c r="E447" s="657">
        <f>G325</f>
        <v>2.5182619250326153</v>
      </c>
      <c r="F447" s="657">
        <f>K325</f>
        <v>1.9324979481835571</v>
      </c>
      <c r="G447" s="657"/>
      <c r="H447" s="863">
        <f>E447*'2. Propiedades de Disipador'!$D$36</f>
        <v>2.3381474989366255</v>
      </c>
      <c r="I447" s="863">
        <f>F447*'2. Propiedades de Disipador'!$D$36</f>
        <v>1.7942793000720225</v>
      </c>
      <c r="J447" s="3"/>
      <c r="K447" s="3"/>
      <c r="L447" s="3"/>
      <c r="M447" s="82"/>
      <c r="N447" s="3"/>
      <c r="O447" s="3"/>
      <c r="P447" s="3"/>
      <c r="Q447" s="3"/>
      <c r="R447" s="3"/>
      <c r="S447" s="3"/>
      <c r="T447" s="3"/>
      <c r="U447" s="11"/>
    </row>
    <row r="448" spans="2:21" x14ac:dyDescent="0.25">
      <c r="B448" s="10"/>
      <c r="C448" s="3"/>
      <c r="D448" s="124" t="s">
        <v>18</v>
      </c>
      <c r="E448" s="657">
        <f>G326</f>
        <v>2.5182619250326153</v>
      </c>
      <c r="F448" s="657">
        <f>K326</f>
        <v>1.9324979481835574</v>
      </c>
      <c r="G448" s="657"/>
      <c r="H448" s="863">
        <f>E448*'2. Propiedades de Disipador'!$D$36</f>
        <v>2.3381474989366255</v>
      </c>
      <c r="I448" s="863">
        <f>F448*'2. Propiedades de Disipador'!$D$36</f>
        <v>1.7942793000720227</v>
      </c>
      <c r="J448" s="3"/>
      <c r="K448" s="3"/>
      <c r="L448" s="3"/>
      <c r="M448" s="82"/>
      <c r="N448" s="3"/>
      <c r="O448" s="3"/>
      <c r="P448" s="3"/>
      <c r="Q448" s="3"/>
      <c r="R448" s="3"/>
      <c r="S448" s="3"/>
      <c r="T448" s="3"/>
      <c r="U448" s="11"/>
    </row>
    <row r="449" spans="2:21" x14ac:dyDescent="0.25">
      <c r="B449" s="10"/>
      <c r="C449" s="3"/>
      <c r="D449" s="230" t="s">
        <v>19</v>
      </c>
      <c r="E449" s="657">
        <f>G327</f>
        <v>2.5182619250326153</v>
      </c>
      <c r="F449" s="657">
        <f>K327</f>
        <v>1.9324979481835574</v>
      </c>
      <c r="G449" s="657"/>
      <c r="H449" s="863">
        <f>E449*'2. Propiedades de Disipador'!$D$36</f>
        <v>2.3381474989366255</v>
      </c>
      <c r="I449" s="863">
        <f>F449*'2. Propiedades de Disipador'!$D$36</f>
        <v>1.7942793000720227</v>
      </c>
      <c r="J449" s="3"/>
      <c r="K449" s="3"/>
      <c r="L449" s="3"/>
      <c r="M449" s="82"/>
      <c r="N449" s="3"/>
      <c r="O449" s="3"/>
      <c r="P449" s="3"/>
      <c r="Q449" s="3"/>
      <c r="R449" s="3"/>
      <c r="S449" s="3"/>
      <c r="T449" s="3"/>
      <c r="U449" s="11"/>
    </row>
    <row r="450" spans="2:21" x14ac:dyDescent="0.25">
      <c r="B450" s="10"/>
      <c r="C450" s="3"/>
      <c r="D450" s="124" t="s">
        <v>16</v>
      </c>
      <c r="E450" s="657">
        <f>G328</f>
        <v>2.860624601565692</v>
      </c>
      <c r="F450" s="657">
        <f>K328</f>
        <v>2.1448643865164825</v>
      </c>
      <c r="G450" s="657"/>
      <c r="H450" s="863">
        <f>E450*'2. Propiedades de Disipador'!$D$36</f>
        <v>2.6560232639266772</v>
      </c>
      <c r="I450" s="863">
        <f>F450*'2. Propiedades de Disipador'!$D$36</f>
        <v>1.9914565879904655</v>
      </c>
      <c r="J450" s="3"/>
      <c r="K450" s="3"/>
      <c r="L450" s="3"/>
      <c r="M450" s="82"/>
      <c r="N450" s="3"/>
      <c r="O450" s="3"/>
      <c r="P450" s="3"/>
      <c r="Q450" s="3"/>
      <c r="R450" s="3"/>
      <c r="S450" s="3"/>
      <c r="T450" s="3"/>
      <c r="U450" s="11"/>
    </row>
    <row r="451" spans="2:21" x14ac:dyDescent="0.25">
      <c r="B451" s="10"/>
      <c r="C451" s="3"/>
      <c r="D451" s="125" t="s">
        <v>30</v>
      </c>
      <c r="E451" s="658">
        <f>G329</f>
        <v>0</v>
      </c>
      <c r="F451" s="658">
        <f>K329</f>
        <v>0</v>
      </c>
      <c r="G451" s="658"/>
      <c r="H451" s="864">
        <f>E451*'2. Propiedades de Disipador'!$D$36</f>
        <v>0</v>
      </c>
      <c r="I451" s="864">
        <f>F451*'2. Propiedades de Disipador'!$D$36</f>
        <v>0</v>
      </c>
      <c r="J451" s="3"/>
      <c r="K451" s="3"/>
      <c r="L451" s="3"/>
      <c r="M451" s="82"/>
      <c r="N451" s="3"/>
      <c r="O451" s="3"/>
      <c r="P451" s="3"/>
      <c r="Q451" s="3"/>
      <c r="R451" s="3"/>
      <c r="S451" s="3"/>
      <c r="T451" s="3"/>
      <c r="U451" s="11"/>
    </row>
    <row r="452" spans="2:21" x14ac:dyDescent="0.25">
      <c r="B452" s="10"/>
      <c r="C452" s="3"/>
      <c r="D452" s="136"/>
      <c r="E452" s="136"/>
      <c r="F452" s="136"/>
      <c r="G452" s="136"/>
      <c r="H452" s="155"/>
      <c r="I452" s="155"/>
      <c r="J452" s="3"/>
      <c r="K452" s="3"/>
      <c r="L452" s="3"/>
      <c r="M452" s="82"/>
      <c r="N452" s="3"/>
      <c r="O452" s="3"/>
      <c r="P452" s="3"/>
      <c r="Q452" s="3"/>
      <c r="R452" s="3"/>
      <c r="S452" s="3"/>
      <c r="T452" s="3"/>
      <c r="U452" s="11"/>
    </row>
    <row r="453" spans="2:21" x14ac:dyDescent="0.25">
      <c r="B453" s="10"/>
      <c r="C453" s="3"/>
      <c r="D453" s="136"/>
      <c r="E453" s="136"/>
      <c r="F453" s="136"/>
      <c r="G453" s="136"/>
      <c r="H453" s="155"/>
      <c r="I453" s="155"/>
      <c r="J453" s="3"/>
      <c r="K453" s="3"/>
      <c r="L453" s="3"/>
      <c r="M453" s="82"/>
      <c r="N453" s="3"/>
      <c r="O453" s="3"/>
      <c r="P453" s="3"/>
      <c r="Q453" s="3"/>
      <c r="R453" s="3"/>
      <c r="S453" s="3"/>
      <c r="T453" s="3"/>
      <c r="U453" s="11"/>
    </row>
    <row r="454" spans="2:21" x14ac:dyDescent="0.25">
      <c r="B454" s="10"/>
      <c r="C454" s="3"/>
      <c r="D454" s="250" t="s">
        <v>442</v>
      </c>
      <c r="E454" s="250"/>
      <c r="F454" s="250"/>
      <c r="G454" s="250"/>
      <c r="H454" s="250"/>
      <c r="I454" s="250"/>
      <c r="J454" s="3"/>
      <c r="K454" s="3"/>
      <c r="L454" s="3"/>
      <c r="M454" s="82"/>
      <c r="N454" s="3"/>
      <c r="O454" s="3"/>
      <c r="P454" s="3"/>
      <c r="Q454" s="3"/>
      <c r="R454" s="3"/>
      <c r="S454" s="3"/>
      <c r="T454" s="3"/>
      <c r="U454" s="11"/>
    </row>
    <row r="455" spans="2:21" ht="15" customHeight="1" x14ac:dyDescent="0.25">
      <c r="B455" s="10"/>
      <c r="C455" s="3"/>
      <c r="D455" s="566" t="s">
        <v>22</v>
      </c>
      <c r="E455" s="265" t="s">
        <v>206</v>
      </c>
      <c r="F455" s="265"/>
      <c r="G455" s="224"/>
      <c r="H455" s="251" t="s">
        <v>141</v>
      </c>
      <c r="I455" s="251"/>
      <c r="J455" s="3"/>
      <c r="K455" s="3"/>
      <c r="L455" s="3"/>
      <c r="M455" s="82"/>
      <c r="N455" s="3"/>
      <c r="O455" s="3"/>
      <c r="P455" s="3"/>
      <c r="Q455" s="3"/>
      <c r="R455" s="3"/>
      <c r="S455" s="3"/>
      <c r="T455" s="3"/>
      <c r="U455" s="11"/>
    </row>
    <row r="456" spans="2:21" x14ac:dyDescent="0.25">
      <c r="B456" s="10"/>
      <c r="C456" s="3"/>
      <c r="D456" s="566"/>
      <c r="E456" s="763" t="s">
        <v>446</v>
      </c>
      <c r="F456" s="763"/>
      <c r="G456" s="800"/>
      <c r="H456" s="252"/>
      <c r="I456" s="252"/>
      <c r="J456" s="3"/>
      <c r="K456" s="3"/>
      <c r="L456" s="3"/>
      <c r="M456" s="82"/>
      <c r="N456" s="3"/>
      <c r="O456" s="3"/>
      <c r="P456" s="3"/>
      <c r="Q456" s="3"/>
      <c r="R456" s="3"/>
      <c r="S456" s="3"/>
      <c r="T456" s="3"/>
      <c r="U456" s="11"/>
    </row>
    <row r="457" spans="2:21" x14ac:dyDescent="0.25">
      <c r="B457" s="10"/>
      <c r="C457" s="3"/>
      <c r="D457" s="269"/>
      <c r="E457" s="223" t="s">
        <v>12</v>
      </c>
      <c r="F457" s="223" t="s">
        <v>13</v>
      </c>
      <c r="G457" s="223"/>
      <c r="H457" s="223" t="s">
        <v>12</v>
      </c>
      <c r="I457" s="223" t="s">
        <v>13</v>
      </c>
      <c r="J457" s="3"/>
      <c r="K457" s="3"/>
      <c r="L457" s="3"/>
      <c r="M457" s="82"/>
      <c r="N457" s="3"/>
      <c r="O457" s="3"/>
      <c r="P457" s="3"/>
      <c r="Q457" s="3"/>
      <c r="R457" s="3"/>
      <c r="S457" s="3"/>
      <c r="T457" s="3"/>
      <c r="U457" s="11"/>
    </row>
    <row r="458" spans="2:21" x14ac:dyDescent="0.25">
      <c r="B458" s="10"/>
      <c r="C458" s="3"/>
      <c r="D458" s="124" t="s">
        <v>14</v>
      </c>
      <c r="E458" s="657">
        <f>G336</f>
        <v>4.5183629307608895</v>
      </c>
      <c r="F458" s="657">
        <f>K336</f>
        <v>4.938827495206529</v>
      </c>
      <c r="G458" s="657"/>
      <c r="H458" s="863">
        <f>E458*'2. Propiedades de Disipador'!$D$36</f>
        <v>4.1951946621714926</v>
      </c>
      <c r="I458" s="863">
        <f>F458*'2. Propiedades de Disipador'!$D$36</f>
        <v>4.585586209602492</v>
      </c>
      <c r="J458" s="3"/>
      <c r="K458" s="3"/>
      <c r="L458" s="3"/>
      <c r="M458" s="82"/>
      <c r="N458" s="3"/>
      <c r="O458" s="3"/>
      <c r="P458" s="3"/>
      <c r="Q458" s="3"/>
      <c r="R458" s="3"/>
      <c r="S458" s="3"/>
      <c r="T458" s="3"/>
      <c r="U458" s="11"/>
    </row>
    <row r="459" spans="2:21" x14ac:dyDescent="0.25">
      <c r="B459" s="10"/>
      <c r="C459" s="3"/>
      <c r="D459" s="124" t="s">
        <v>147</v>
      </c>
      <c r="E459" s="657">
        <f>G337</f>
        <v>4.5183629307608912</v>
      </c>
      <c r="F459" s="657">
        <f>K337</f>
        <v>4.9388274952065316</v>
      </c>
      <c r="G459" s="657"/>
      <c r="H459" s="863">
        <f>E459*'2. Propiedades de Disipador'!$D$36</f>
        <v>4.1951946621714944</v>
      </c>
      <c r="I459" s="863">
        <f>F459*'2. Propiedades de Disipador'!$D$36</f>
        <v>4.5855862096024946</v>
      </c>
      <c r="J459" s="3"/>
      <c r="K459" s="3"/>
      <c r="L459" s="3"/>
      <c r="M459" s="82"/>
      <c r="N459" s="3"/>
      <c r="O459" s="3"/>
      <c r="P459" s="3"/>
      <c r="Q459" s="3"/>
      <c r="R459" s="3"/>
      <c r="S459" s="3"/>
      <c r="T459" s="3"/>
      <c r="U459" s="11"/>
    </row>
    <row r="460" spans="2:21" x14ac:dyDescent="0.25">
      <c r="B460" s="10"/>
      <c r="C460" s="3"/>
      <c r="D460" s="230" t="s">
        <v>17</v>
      </c>
      <c r="E460" s="657">
        <f>G338</f>
        <v>4.5183629307608904</v>
      </c>
      <c r="F460" s="657">
        <f>K338</f>
        <v>4.938827495206529</v>
      </c>
      <c r="G460" s="657"/>
      <c r="H460" s="863">
        <f>E460*'2. Propiedades de Disipador'!$D$36</f>
        <v>4.1951946621714935</v>
      </c>
      <c r="I460" s="863">
        <f>F460*'2. Propiedades de Disipador'!$D$36</f>
        <v>4.585586209602492</v>
      </c>
      <c r="J460" s="3"/>
      <c r="K460" s="3"/>
      <c r="L460" s="3"/>
      <c r="M460" s="82"/>
      <c r="N460" s="3"/>
      <c r="O460" s="3"/>
      <c r="P460" s="3"/>
      <c r="Q460" s="3"/>
      <c r="R460" s="3"/>
      <c r="S460" s="3"/>
      <c r="T460" s="3"/>
      <c r="U460" s="11"/>
    </row>
    <row r="461" spans="2:21" x14ac:dyDescent="0.25">
      <c r="B461" s="10"/>
      <c r="C461" s="3"/>
      <c r="D461" s="124" t="s">
        <v>18</v>
      </c>
      <c r="E461" s="657">
        <f>G339</f>
        <v>4.5183629307608912</v>
      </c>
      <c r="F461" s="657">
        <f>K339</f>
        <v>4.9388274952065316</v>
      </c>
      <c r="G461" s="657"/>
      <c r="H461" s="863">
        <f>E461*'2. Propiedades de Disipador'!$D$36</f>
        <v>4.1951946621714944</v>
      </c>
      <c r="I461" s="863">
        <f>F461*'2. Propiedades de Disipador'!$D$36</f>
        <v>4.5855862096024946</v>
      </c>
      <c r="J461" s="3"/>
      <c r="K461" s="3"/>
      <c r="L461" s="3"/>
      <c r="M461" s="82"/>
      <c r="N461" s="3"/>
      <c r="O461" s="3"/>
      <c r="P461" s="3"/>
      <c r="Q461" s="3"/>
      <c r="R461" s="3"/>
      <c r="S461" s="3"/>
      <c r="T461" s="3"/>
      <c r="U461" s="11"/>
    </row>
    <row r="462" spans="2:21" x14ac:dyDescent="0.25">
      <c r="B462" s="10"/>
      <c r="C462" s="3"/>
      <c r="D462" s="230" t="s">
        <v>19</v>
      </c>
      <c r="E462" s="657">
        <f>G340</f>
        <v>4.5183629307608904</v>
      </c>
      <c r="F462" s="657">
        <f>K340</f>
        <v>4.9388274952065299</v>
      </c>
      <c r="G462" s="657"/>
      <c r="H462" s="863">
        <f>E462*'2. Propiedades de Disipador'!$D$36</f>
        <v>4.1951946621714935</v>
      </c>
      <c r="I462" s="863">
        <f>F462*'2. Propiedades de Disipador'!$D$36</f>
        <v>4.5855862096024929</v>
      </c>
      <c r="J462" s="3"/>
      <c r="K462" s="3"/>
      <c r="L462" s="3"/>
      <c r="M462" s="82"/>
      <c r="N462" s="3"/>
      <c r="O462" s="3"/>
      <c r="P462" s="3"/>
      <c r="Q462" s="3"/>
      <c r="R462" s="3"/>
      <c r="S462" s="3"/>
      <c r="T462" s="3"/>
      <c r="U462" s="11"/>
    </row>
    <row r="463" spans="2:21" x14ac:dyDescent="0.25">
      <c r="B463" s="10"/>
      <c r="C463" s="3"/>
      <c r="D463" s="124" t="s">
        <v>16</v>
      </c>
      <c r="E463" s="657">
        <f>G341</f>
        <v>7.9562368326736275</v>
      </c>
      <c r="F463" s="657">
        <f>K341</f>
        <v>8.2023239384290569</v>
      </c>
      <c r="G463" s="657"/>
      <c r="H463" s="863">
        <f>E463*'2. Propiedades de Disipador'!$D$36</f>
        <v>7.387180446300226</v>
      </c>
      <c r="I463" s="863">
        <f>F463*'2. Propiedades de Disipador'!$D$36</f>
        <v>7.6156665879215586</v>
      </c>
      <c r="J463" s="3"/>
      <c r="K463" s="3"/>
      <c r="L463" s="3"/>
      <c r="M463" s="82"/>
      <c r="N463" s="3"/>
      <c r="O463" s="3"/>
      <c r="P463" s="3"/>
      <c r="Q463" s="3"/>
      <c r="R463" s="3"/>
      <c r="S463" s="3"/>
      <c r="T463" s="3"/>
      <c r="U463" s="11"/>
    </row>
    <row r="464" spans="2:21" x14ac:dyDescent="0.25">
      <c r="B464" s="10"/>
      <c r="C464" s="3"/>
      <c r="D464" s="125" t="s">
        <v>30</v>
      </c>
      <c r="E464" s="658">
        <f>G342</f>
        <v>0</v>
      </c>
      <c r="F464" s="658">
        <f>K342</f>
        <v>0</v>
      </c>
      <c r="G464" s="658"/>
      <c r="H464" s="864">
        <f>E464*'2. Propiedades de Disipador'!$D$36</f>
        <v>0</v>
      </c>
      <c r="I464" s="864">
        <f>F464*'2. Propiedades de Disipador'!$D$36</f>
        <v>0</v>
      </c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11"/>
    </row>
    <row r="465" spans="2:21" x14ac:dyDescent="0.25">
      <c r="B465" s="10"/>
      <c r="C465" s="3"/>
      <c r="D465" s="3"/>
      <c r="E465" s="3"/>
      <c r="F465" s="3"/>
      <c r="G465" s="3"/>
      <c r="H465" s="82"/>
      <c r="I465" s="8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11"/>
    </row>
    <row r="466" spans="2:21" x14ac:dyDescent="0.25">
      <c r="B466" s="10"/>
      <c r="C466" s="3"/>
      <c r="D466" s="3"/>
      <c r="E466" s="3"/>
      <c r="F466" s="3"/>
      <c r="G466" s="3"/>
      <c r="H466" s="82"/>
      <c r="I466" s="8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11"/>
    </row>
    <row r="467" spans="2:21" x14ac:dyDescent="0.25">
      <c r="B467" s="10"/>
      <c r="C467" s="3"/>
      <c r="D467" s="250" t="s">
        <v>207</v>
      </c>
      <c r="E467" s="250"/>
      <c r="F467" s="250"/>
      <c r="G467" s="250"/>
      <c r="H467" s="250"/>
      <c r="I467" s="250"/>
      <c r="J467" s="250"/>
      <c r="K467" s="250"/>
      <c r="L467" s="250"/>
      <c r="M467" s="3"/>
      <c r="N467" s="3"/>
      <c r="O467" s="3"/>
      <c r="P467" s="3"/>
      <c r="Q467" s="3"/>
      <c r="R467" s="3"/>
      <c r="S467" s="3"/>
      <c r="T467" s="3"/>
      <c r="U467" s="11"/>
    </row>
    <row r="468" spans="2:21" ht="15" customHeight="1" x14ac:dyDescent="0.25">
      <c r="B468" s="10"/>
      <c r="C468" s="3"/>
      <c r="D468" s="268" t="s">
        <v>22</v>
      </c>
      <c r="E468" s="251" t="s">
        <v>98</v>
      </c>
      <c r="F468" s="251"/>
      <c r="G468" s="800"/>
      <c r="H468" s="251" t="s">
        <v>448</v>
      </c>
      <c r="I468" s="251"/>
      <c r="J468" s="800"/>
      <c r="K468" s="265" t="s">
        <v>447</v>
      </c>
      <c r="L468" s="265"/>
      <c r="M468" s="3"/>
      <c r="N468" s="3"/>
      <c r="O468" s="3"/>
      <c r="P468" s="3"/>
      <c r="Q468" s="3"/>
      <c r="R468" s="3"/>
      <c r="S468" s="3"/>
      <c r="T468" s="3"/>
      <c r="U468" s="11"/>
    </row>
    <row r="469" spans="2:21" ht="16.5" customHeight="1" x14ac:dyDescent="0.25">
      <c r="B469" s="10"/>
      <c r="C469" s="3"/>
      <c r="D469" s="566"/>
      <c r="E469" s="252"/>
      <c r="F469" s="252"/>
      <c r="G469" s="800"/>
      <c r="H469" s="252"/>
      <c r="I469" s="252"/>
      <c r="J469" s="800"/>
      <c r="K469" s="865" t="s">
        <v>278</v>
      </c>
      <c r="L469" s="865"/>
      <c r="M469" s="3"/>
      <c r="N469" s="3"/>
      <c r="O469" s="3"/>
      <c r="P469" s="3"/>
      <c r="Q469" s="3"/>
      <c r="R469" s="3"/>
      <c r="S469" s="3"/>
      <c r="T469" s="3"/>
      <c r="U469" s="11"/>
    </row>
    <row r="470" spans="2:21" ht="12.75" customHeight="1" x14ac:dyDescent="0.25">
      <c r="B470" s="10"/>
      <c r="C470" s="3"/>
      <c r="D470" s="269"/>
      <c r="E470" s="223" t="s">
        <v>12</v>
      </c>
      <c r="F470" s="223" t="s">
        <v>13</v>
      </c>
      <c r="G470" s="223"/>
      <c r="H470" s="216" t="s">
        <v>12</v>
      </c>
      <c r="I470" s="223" t="s">
        <v>13</v>
      </c>
      <c r="J470" s="223"/>
      <c r="K470" s="216" t="s">
        <v>12</v>
      </c>
      <c r="L470" s="216" t="s">
        <v>13</v>
      </c>
      <c r="M470" s="3"/>
      <c r="N470" s="3"/>
      <c r="O470" s="3"/>
      <c r="P470" s="3"/>
      <c r="Q470" s="3"/>
      <c r="R470" s="3"/>
      <c r="S470" s="3"/>
      <c r="T470" s="3"/>
      <c r="U470" s="11"/>
    </row>
    <row r="471" spans="2:21" x14ac:dyDescent="0.25">
      <c r="B471" s="10"/>
      <c r="C471" s="3"/>
      <c r="D471" s="124" t="s">
        <v>14</v>
      </c>
      <c r="E471" s="570">
        <f>'2. Propiedades de Disipador'!G72</f>
        <v>8</v>
      </c>
      <c r="F471" s="570">
        <f>'2. Propiedades de Disipador'!H72</f>
        <v>10</v>
      </c>
      <c r="G471" s="570"/>
      <c r="H471" s="570">
        <f>H458</f>
        <v>4.1951946621714926</v>
      </c>
      <c r="I471" s="570">
        <f>I458</f>
        <v>4.585586209602492</v>
      </c>
      <c r="J471" s="570"/>
      <c r="K471" s="866">
        <f t="shared" ref="K471:K477" si="54">E471*H471</f>
        <v>33.561557297371941</v>
      </c>
      <c r="L471" s="866">
        <f>F471*I471</f>
        <v>45.855862096024921</v>
      </c>
      <c r="M471" s="3"/>
      <c r="N471" s="3"/>
      <c r="O471" s="3"/>
      <c r="P471" s="3"/>
      <c r="Q471" s="3"/>
      <c r="R471" s="3"/>
      <c r="S471" s="3"/>
      <c r="T471" s="3"/>
      <c r="U471" s="11"/>
    </row>
    <row r="472" spans="2:21" x14ac:dyDescent="0.25">
      <c r="B472" s="10"/>
      <c r="C472" s="3"/>
      <c r="D472" s="124" t="s">
        <v>147</v>
      </c>
      <c r="E472" s="570">
        <f>'2. Propiedades de Disipador'!G73</f>
        <v>8</v>
      </c>
      <c r="F472" s="570">
        <f>'2. Propiedades de Disipador'!H73</f>
        <v>10</v>
      </c>
      <c r="G472" s="570"/>
      <c r="H472" s="570">
        <f>H459</f>
        <v>4.1951946621714944</v>
      </c>
      <c r="I472" s="570">
        <f>I459</f>
        <v>4.5855862096024946</v>
      </c>
      <c r="J472" s="570"/>
      <c r="K472" s="866">
        <f t="shared" si="54"/>
        <v>33.561557297371955</v>
      </c>
      <c r="L472" s="866">
        <f>F472*I472</f>
        <v>45.85586209602495</v>
      </c>
      <c r="M472" s="3"/>
      <c r="N472" s="3"/>
      <c r="O472" s="3"/>
      <c r="P472" s="3"/>
      <c r="Q472" s="3"/>
      <c r="R472" s="3"/>
      <c r="S472" s="3"/>
      <c r="T472" s="3"/>
      <c r="U472" s="11"/>
    </row>
    <row r="473" spans="2:21" x14ac:dyDescent="0.25">
      <c r="B473" s="10"/>
      <c r="C473" s="3"/>
      <c r="D473" s="230" t="s">
        <v>17</v>
      </c>
      <c r="E473" s="570">
        <f>'2. Propiedades de Disipador'!G74</f>
        <v>8</v>
      </c>
      <c r="F473" s="570">
        <f>'2. Propiedades de Disipador'!H74</f>
        <v>10</v>
      </c>
      <c r="G473" s="570"/>
      <c r="H473" s="570">
        <f>H460</f>
        <v>4.1951946621714935</v>
      </c>
      <c r="I473" s="570">
        <f>I460</f>
        <v>4.585586209602492</v>
      </c>
      <c r="J473" s="570"/>
      <c r="K473" s="866">
        <f t="shared" si="54"/>
        <v>33.561557297371948</v>
      </c>
      <c r="L473" s="866">
        <f>F473*I473</f>
        <v>45.855862096024921</v>
      </c>
      <c r="M473" s="3"/>
      <c r="N473" s="3"/>
      <c r="O473" s="3"/>
      <c r="P473" s="3"/>
      <c r="Q473" s="3"/>
      <c r="R473" s="3"/>
      <c r="S473" s="3"/>
      <c r="T473" s="3"/>
      <c r="U473" s="11"/>
    </row>
    <row r="474" spans="2:21" x14ac:dyDescent="0.25">
      <c r="B474" s="10"/>
      <c r="C474" s="3"/>
      <c r="D474" s="124" t="s">
        <v>18</v>
      </c>
      <c r="E474" s="570">
        <f>'2. Propiedades de Disipador'!G75</f>
        <v>17</v>
      </c>
      <c r="F474" s="570">
        <f>'2. Propiedades de Disipador'!H75</f>
        <v>20</v>
      </c>
      <c r="G474" s="570"/>
      <c r="H474" s="570">
        <f>H461</f>
        <v>4.1951946621714944</v>
      </c>
      <c r="I474" s="570">
        <f>I461</f>
        <v>4.5855862096024946</v>
      </c>
      <c r="J474" s="570"/>
      <c r="K474" s="866">
        <f t="shared" si="54"/>
        <v>71.318309256915398</v>
      </c>
      <c r="L474" s="866">
        <f>F474*I474</f>
        <v>91.7117241920499</v>
      </c>
      <c r="M474" s="3"/>
      <c r="N474" s="3"/>
      <c r="O474" s="3"/>
      <c r="P474" s="3"/>
      <c r="Q474" s="3"/>
      <c r="R474" s="3"/>
      <c r="S474" s="3"/>
      <c r="T474" s="3"/>
      <c r="U474" s="11"/>
    </row>
    <row r="475" spans="2:21" x14ac:dyDescent="0.25">
      <c r="B475" s="10"/>
      <c r="C475" s="3"/>
      <c r="D475" s="230" t="s">
        <v>19</v>
      </c>
      <c r="E475" s="570">
        <f>'2. Propiedades de Disipador'!G76</f>
        <v>17</v>
      </c>
      <c r="F475" s="570">
        <f>'2. Propiedades de Disipador'!H76</f>
        <v>20</v>
      </c>
      <c r="G475" s="570"/>
      <c r="H475" s="570">
        <f>H462</f>
        <v>4.1951946621714935</v>
      </c>
      <c r="I475" s="570">
        <f>I462</f>
        <v>4.5855862096024929</v>
      </c>
      <c r="J475" s="570"/>
      <c r="K475" s="866">
        <f t="shared" si="54"/>
        <v>71.318309256915384</v>
      </c>
      <c r="L475" s="866">
        <f>F475*I475</f>
        <v>91.711724192049857</v>
      </c>
      <c r="M475" s="3"/>
      <c r="N475" s="3"/>
      <c r="O475" s="3"/>
      <c r="P475" s="3"/>
      <c r="Q475" s="3"/>
      <c r="R475" s="3"/>
      <c r="S475" s="3"/>
      <c r="T475" s="3"/>
      <c r="U475" s="11"/>
    </row>
    <row r="476" spans="2:21" x14ac:dyDescent="0.25">
      <c r="B476" s="10"/>
      <c r="C476" s="3"/>
      <c r="D476" s="124" t="s">
        <v>16</v>
      </c>
      <c r="E476" s="570">
        <f>'2. Propiedades de Disipador'!G77</f>
        <v>17</v>
      </c>
      <c r="F476" s="570">
        <f>'2. Propiedades de Disipador'!H77</f>
        <v>20</v>
      </c>
      <c r="G476" s="570"/>
      <c r="H476" s="570">
        <f>H463</f>
        <v>7.387180446300226</v>
      </c>
      <c r="I476" s="570">
        <f>I463</f>
        <v>7.6156665879215586</v>
      </c>
      <c r="J476" s="570"/>
      <c r="K476" s="866">
        <f t="shared" si="54"/>
        <v>125.58206758710384</v>
      </c>
      <c r="L476" s="866">
        <f>F476*I476</f>
        <v>152.31333175843116</v>
      </c>
      <c r="M476" s="3"/>
      <c r="N476" s="3"/>
      <c r="O476" s="3"/>
      <c r="P476" s="3"/>
      <c r="Q476" s="3"/>
      <c r="R476" s="3"/>
      <c r="S476" s="3"/>
      <c r="T476" s="3"/>
      <c r="U476" s="11"/>
    </row>
    <row r="477" spans="2:21" x14ac:dyDescent="0.25">
      <c r="B477" s="10"/>
      <c r="C477" s="3"/>
      <c r="D477" s="125" t="s">
        <v>30</v>
      </c>
      <c r="E477" s="573">
        <f>'2. Propiedades de Disipador'!G78</f>
        <v>0</v>
      </c>
      <c r="F477" s="573">
        <f>'2. Propiedades de Disipador'!H78</f>
        <v>0</v>
      </c>
      <c r="G477" s="573"/>
      <c r="H477" s="573">
        <f>H464</f>
        <v>0</v>
      </c>
      <c r="I477" s="573">
        <f>I464</f>
        <v>0</v>
      </c>
      <c r="J477" s="573"/>
      <c r="K477" s="659">
        <f t="shared" si="54"/>
        <v>0</v>
      </c>
      <c r="L477" s="659">
        <f>F477*I477</f>
        <v>0</v>
      </c>
      <c r="M477" s="3"/>
      <c r="N477" s="3"/>
      <c r="O477" s="3"/>
      <c r="P477" s="3"/>
      <c r="Q477" s="3"/>
      <c r="R477" s="3"/>
      <c r="S477" s="3"/>
      <c r="T477" s="3"/>
      <c r="U477" s="11"/>
    </row>
    <row r="478" spans="2:21" x14ac:dyDescent="0.25">
      <c r="B478" s="10"/>
      <c r="C478" s="3"/>
      <c r="D478" s="3"/>
      <c r="E478" s="3"/>
      <c r="F478" s="3"/>
      <c r="G478" s="3"/>
      <c r="H478" s="82"/>
      <c r="I478" s="82"/>
      <c r="J478" s="3"/>
      <c r="K478" s="3"/>
      <c r="L478" s="3"/>
      <c r="M478" s="82"/>
      <c r="N478" s="3"/>
      <c r="O478" s="3"/>
      <c r="P478" s="3"/>
      <c r="Q478" s="3"/>
      <c r="R478" s="3"/>
      <c r="S478" s="3"/>
      <c r="T478" s="3"/>
      <c r="U478" s="11"/>
    </row>
    <row r="479" spans="2:21" ht="15.75" thickBot="1" x14ac:dyDescent="0.3">
      <c r="B479" s="23"/>
      <c r="C479" s="24"/>
      <c r="D479" s="24"/>
      <c r="E479" s="24"/>
      <c r="F479" s="24"/>
      <c r="G479" s="24"/>
      <c r="H479" s="208"/>
      <c r="I479" s="208"/>
      <c r="J479" s="24"/>
      <c r="K479" s="24"/>
      <c r="L479" s="24"/>
      <c r="M479" s="208"/>
      <c r="N479" s="24"/>
      <c r="O479" s="24"/>
      <c r="P479" s="24"/>
      <c r="Q479" s="24"/>
      <c r="R479" s="24"/>
      <c r="S479" s="24"/>
      <c r="T479" s="24"/>
      <c r="U479" s="25"/>
    </row>
    <row r="480" spans="2:21" x14ac:dyDescent="0.25">
      <c r="B480" s="7"/>
      <c r="C480" s="8"/>
      <c r="D480" s="8"/>
      <c r="E480" s="8"/>
      <c r="F480" s="8"/>
      <c r="G480" s="8"/>
      <c r="H480" s="220"/>
      <c r="I480" s="220"/>
      <c r="J480" s="8"/>
      <c r="K480" s="8"/>
      <c r="L480" s="8"/>
      <c r="M480" s="220"/>
      <c r="N480" s="8"/>
      <c r="O480" s="8"/>
      <c r="P480" s="8"/>
      <c r="Q480" s="8"/>
      <c r="R480" s="8"/>
      <c r="S480" s="8"/>
      <c r="T480" s="8"/>
      <c r="U480" s="9"/>
    </row>
    <row r="481" spans="2:21" x14ac:dyDescent="0.25">
      <c r="B481" s="10"/>
      <c r="C481" s="733" t="s">
        <v>503</v>
      </c>
      <c r="D481" s="733"/>
      <c r="E481" s="733"/>
      <c r="F481" s="733"/>
      <c r="G481" s="733"/>
      <c r="H481" s="733"/>
      <c r="I481" s="733"/>
      <c r="J481" s="733"/>
      <c r="K481" s="733"/>
      <c r="L481" s="733"/>
      <c r="M481" s="733"/>
      <c r="N481" s="733"/>
      <c r="O481" s="3"/>
      <c r="P481" s="3"/>
      <c r="Q481" s="3"/>
      <c r="R481" s="3"/>
      <c r="S481" s="3"/>
      <c r="T481" s="3"/>
      <c r="U481" s="11"/>
    </row>
    <row r="482" spans="2:21" x14ac:dyDescent="0.25">
      <c r="B482" s="10"/>
      <c r="C482" s="733"/>
      <c r="D482" s="733"/>
      <c r="E482" s="733"/>
      <c r="F482" s="733"/>
      <c r="G482" s="733"/>
      <c r="H482" s="733"/>
      <c r="I482" s="733"/>
      <c r="J482" s="733"/>
      <c r="K482" s="733"/>
      <c r="L482" s="733"/>
      <c r="M482" s="733"/>
      <c r="N482" s="733"/>
      <c r="O482" s="3"/>
      <c r="P482" s="3"/>
      <c r="Q482" s="3"/>
      <c r="R482" s="3"/>
      <c r="S482" s="3"/>
      <c r="T482" s="3"/>
      <c r="U482" s="11"/>
    </row>
    <row r="483" spans="2:21" x14ac:dyDescent="0.25">
      <c r="B483" s="10"/>
      <c r="C483" s="3"/>
      <c r="D483" s="3"/>
      <c r="E483" s="3"/>
      <c r="F483" s="3"/>
      <c r="G483" s="3"/>
      <c r="H483" s="82"/>
      <c r="I483" s="82"/>
      <c r="J483" s="3"/>
      <c r="K483" s="3"/>
      <c r="L483" s="3"/>
      <c r="M483" s="82"/>
      <c r="N483" s="3"/>
      <c r="O483" s="3"/>
      <c r="P483" s="3"/>
      <c r="Q483" s="3"/>
      <c r="R483" s="3"/>
      <c r="S483" s="3"/>
      <c r="T483" s="3"/>
      <c r="U483" s="11"/>
    </row>
    <row r="484" spans="2:21" x14ac:dyDescent="0.25">
      <c r="B484" s="10"/>
      <c r="C484" s="3"/>
      <c r="D484" s="250" t="s">
        <v>441</v>
      </c>
      <c r="E484" s="250"/>
      <c r="F484" s="250"/>
      <c r="G484" s="250"/>
      <c r="H484" s="250"/>
      <c r="I484" s="250"/>
      <c r="J484" s="3"/>
      <c r="K484" s="3"/>
      <c r="L484" s="3"/>
      <c r="M484" s="82"/>
      <c r="N484" s="3"/>
      <c r="O484" s="3"/>
      <c r="P484" s="3"/>
      <c r="Q484" s="3"/>
      <c r="R484" s="3"/>
      <c r="S484" s="3"/>
      <c r="T484" s="3"/>
      <c r="U484" s="11"/>
    </row>
    <row r="485" spans="2:21" ht="15" customHeight="1" x14ac:dyDescent="0.25">
      <c r="B485" s="10"/>
      <c r="C485" s="3"/>
      <c r="D485" s="566" t="s">
        <v>22</v>
      </c>
      <c r="E485" s="265" t="s">
        <v>140</v>
      </c>
      <c r="F485" s="265"/>
      <c r="G485" s="224"/>
      <c r="H485" s="861" t="s">
        <v>139</v>
      </c>
      <c r="I485" s="861"/>
      <c r="J485" s="3"/>
      <c r="K485" s="3"/>
      <c r="L485" s="3"/>
      <c r="M485" s="82"/>
      <c r="N485" s="3"/>
      <c r="O485" s="3"/>
      <c r="P485" s="3"/>
      <c r="Q485" s="3"/>
      <c r="R485" s="3"/>
      <c r="S485" s="3"/>
      <c r="T485" s="3"/>
      <c r="U485" s="11"/>
    </row>
    <row r="486" spans="2:21" x14ac:dyDescent="0.25">
      <c r="B486" s="10"/>
      <c r="C486" s="3"/>
      <c r="D486" s="566"/>
      <c r="E486" s="763" t="s">
        <v>443</v>
      </c>
      <c r="F486" s="763"/>
      <c r="G486" s="800"/>
      <c r="H486" s="862"/>
      <c r="I486" s="862"/>
      <c r="J486" s="3"/>
      <c r="K486" s="3"/>
      <c r="L486" s="3"/>
      <c r="M486" s="82"/>
      <c r="N486" s="3"/>
      <c r="O486" s="3"/>
      <c r="P486" s="3"/>
      <c r="Q486" s="3"/>
      <c r="R486" s="3"/>
      <c r="S486" s="3"/>
      <c r="T486" s="3"/>
      <c r="U486" s="11"/>
    </row>
    <row r="487" spans="2:21" x14ac:dyDescent="0.25">
      <c r="B487" s="10"/>
      <c r="C487" s="3"/>
      <c r="D487" s="269"/>
      <c r="E487" s="223" t="s">
        <v>12</v>
      </c>
      <c r="F487" s="223" t="s">
        <v>13</v>
      </c>
      <c r="G487" s="223"/>
      <c r="H487" s="223" t="s">
        <v>12</v>
      </c>
      <c r="I487" s="223" t="s">
        <v>13</v>
      </c>
      <c r="J487" s="3"/>
      <c r="K487" s="3"/>
      <c r="L487" s="3"/>
      <c r="M487" s="82"/>
      <c r="N487" s="3"/>
      <c r="O487" s="3"/>
      <c r="P487" s="3"/>
      <c r="Q487" s="3"/>
      <c r="R487" s="3"/>
      <c r="S487" s="3"/>
      <c r="T487" s="3"/>
      <c r="U487" s="11"/>
    </row>
    <row r="488" spans="2:21" x14ac:dyDescent="0.25">
      <c r="B488" s="10"/>
      <c r="C488" s="3"/>
      <c r="D488" s="124" t="s">
        <v>14</v>
      </c>
      <c r="E488" s="657">
        <f>G374</f>
        <v>3.8729506607236939</v>
      </c>
      <c r="F488" s="657">
        <f>K374</f>
        <v>2.9863874567874666</v>
      </c>
      <c r="G488" s="657"/>
      <c r="H488" s="863">
        <f>E488*'2. Propiedades de Disipador'!$D$36</f>
        <v>3.595944413430614</v>
      </c>
      <c r="I488" s="863">
        <f>F488*'2. Propiedades de Disipador'!$D$36</f>
        <v>2.7727911435792723</v>
      </c>
      <c r="J488" s="3"/>
      <c r="K488" s="3"/>
      <c r="L488" s="3"/>
      <c r="M488" s="82"/>
      <c r="N488" s="3"/>
      <c r="O488" s="3"/>
      <c r="P488" s="3"/>
      <c r="Q488" s="3"/>
      <c r="R488" s="3"/>
      <c r="S488" s="3"/>
      <c r="T488" s="3"/>
      <c r="U488" s="11"/>
    </row>
    <row r="489" spans="2:21" x14ac:dyDescent="0.25">
      <c r="B489" s="10"/>
      <c r="C489" s="3"/>
      <c r="D489" s="124" t="s">
        <v>147</v>
      </c>
      <c r="E489" s="657">
        <f>G375</f>
        <v>3.8729506607236956</v>
      </c>
      <c r="F489" s="657">
        <f>K375</f>
        <v>2.9863874567874689</v>
      </c>
      <c r="G489" s="657"/>
      <c r="H489" s="863">
        <f>E489*'2. Propiedades de Disipador'!$D$36</f>
        <v>3.5959444134306153</v>
      </c>
      <c r="I489" s="863">
        <f>F489*'2. Propiedades de Disipador'!$D$36</f>
        <v>2.7727911435792745</v>
      </c>
      <c r="J489" s="3"/>
      <c r="K489" s="3"/>
      <c r="L489" s="3"/>
      <c r="M489" s="82"/>
      <c r="N489" s="3"/>
      <c r="O489" s="3"/>
      <c r="P489" s="3"/>
      <c r="Q489" s="3"/>
      <c r="R489" s="3"/>
      <c r="S489" s="3"/>
      <c r="T489" s="3"/>
      <c r="U489" s="11"/>
    </row>
    <row r="490" spans="2:21" x14ac:dyDescent="0.25">
      <c r="B490" s="10"/>
      <c r="C490" s="3"/>
      <c r="D490" s="230" t="s">
        <v>17</v>
      </c>
      <c r="E490" s="657">
        <f>G376</f>
        <v>3.8729506607236939</v>
      </c>
      <c r="F490" s="657">
        <f>K376</f>
        <v>2.9863874567874671</v>
      </c>
      <c r="G490" s="657"/>
      <c r="H490" s="863">
        <f>E490*'2. Propiedades de Disipador'!$D$36</f>
        <v>3.595944413430614</v>
      </c>
      <c r="I490" s="863">
        <f>F490*'2. Propiedades de Disipador'!$D$36</f>
        <v>2.7727911435792727</v>
      </c>
      <c r="J490" s="3"/>
      <c r="K490" s="3"/>
      <c r="L490" s="3"/>
      <c r="M490" s="82"/>
      <c r="N490" s="3"/>
      <c r="O490" s="3"/>
      <c r="P490" s="3"/>
      <c r="Q490" s="3"/>
      <c r="R490" s="3"/>
      <c r="S490" s="3"/>
      <c r="T490" s="3"/>
      <c r="U490" s="11"/>
    </row>
    <row r="491" spans="2:21" x14ac:dyDescent="0.25">
      <c r="B491" s="10"/>
      <c r="C491" s="3"/>
      <c r="D491" s="124" t="s">
        <v>18</v>
      </c>
      <c r="E491" s="657">
        <f>G377</f>
        <v>3.8729506607236948</v>
      </c>
      <c r="F491" s="657">
        <f>K377</f>
        <v>2.986387456787468</v>
      </c>
      <c r="G491" s="657"/>
      <c r="H491" s="863">
        <f>E491*'2. Propiedades de Disipador'!$D$36</f>
        <v>3.5959444134306149</v>
      </c>
      <c r="I491" s="863">
        <f>F491*'2. Propiedades de Disipador'!$D$36</f>
        <v>2.7727911435792736</v>
      </c>
      <c r="J491" s="3"/>
      <c r="K491" s="3"/>
      <c r="L491" s="3"/>
      <c r="M491" s="82"/>
      <c r="N491" s="3"/>
      <c r="O491" s="3"/>
      <c r="P491" s="3"/>
      <c r="Q491" s="3"/>
      <c r="R491" s="3"/>
      <c r="S491" s="3"/>
      <c r="T491" s="3"/>
      <c r="U491" s="11"/>
    </row>
    <row r="492" spans="2:21" x14ac:dyDescent="0.25">
      <c r="B492" s="10"/>
      <c r="C492" s="3"/>
      <c r="D492" s="230" t="s">
        <v>19</v>
      </c>
      <c r="E492" s="657">
        <f>G378</f>
        <v>3.8729506607236939</v>
      </c>
      <c r="F492" s="657">
        <f>K378</f>
        <v>2.9863874567874671</v>
      </c>
      <c r="G492" s="657"/>
      <c r="H492" s="863">
        <f>E492*'2. Propiedades de Disipador'!$D$36</f>
        <v>3.595944413430614</v>
      </c>
      <c r="I492" s="863">
        <f>F492*'2. Propiedades de Disipador'!$D$36</f>
        <v>2.7727911435792727</v>
      </c>
      <c r="J492" s="3"/>
      <c r="K492" s="3"/>
      <c r="L492" s="3"/>
      <c r="M492" s="82"/>
      <c r="N492" s="3"/>
      <c r="O492" s="3"/>
      <c r="P492" s="3"/>
      <c r="Q492" s="3"/>
      <c r="R492" s="3"/>
      <c r="S492" s="3"/>
      <c r="T492" s="3"/>
      <c r="U492" s="11"/>
    </row>
    <row r="493" spans="2:21" x14ac:dyDescent="0.25">
      <c r="B493" s="10"/>
      <c r="C493" s="3"/>
      <c r="D493" s="124" t="s">
        <v>16</v>
      </c>
      <c r="E493" s="657">
        <f>G379</f>
        <v>4.3752930522916262</v>
      </c>
      <c r="F493" s="657">
        <f>K379</f>
        <v>3.2964789707939768</v>
      </c>
      <c r="G493" s="657"/>
      <c r="H493" s="863">
        <f>E493*'2. Propiedades de Disipador'!$D$36</f>
        <v>4.0623576148449949</v>
      </c>
      <c r="I493" s="863">
        <f>F493*'2. Propiedades de Disipador'!$D$36</f>
        <v>3.0607038863756371</v>
      </c>
      <c r="J493" s="3"/>
      <c r="K493" s="3"/>
      <c r="L493" s="3"/>
      <c r="M493" s="82"/>
      <c r="N493" s="3"/>
      <c r="O493" s="3"/>
      <c r="P493" s="3"/>
      <c r="Q493" s="3"/>
      <c r="R493" s="3"/>
      <c r="S493" s="3"/>
      <c r="T493" s="3"/>
      <c r="U493" s="11"/>
    </row>
    <row r="494" spans="2:21" x14ac:dyDescent="0.25">
      <c r="B494" s="10"/>
      <c r="C494" s="3"/>
      <c r="D494" s="125" t="s">
        <v>30</v>
      </c>
      <c r="E494" s="658">
        <f>G380</f>
        <v>0</v>
      </c>
      <c r="F494" s="658">
        <f>K380</f>
        <v>0</v>
      </c>
      <c r="G494" s="658"/>
      <c r="H494" s="864">
        <f>E494*'2. Propiedades de Disipador'!$D$36</f>
        <v>0</v>
      </c>
      <c r="I494" s="864">
        <f>F494*'2. Propiedades de Disipador'!$D$36</f>
        <v>0</v>
      </c>
      <c r="J494" s="3"/>
      <c r="K494" s="3"/>
      <c r="L494" s="3"/>
      <c r="M494" s="82"/>
      <c r="N494" s="3"/>
      <c r="O494" s="3"/>
      <c r="P494" s="3"/>
      <c r="Q494" s="3"/>
      <c r="R494" s="3"/>
      <c r="S494" s="3"/>
      <c r="T494" s="3"/>
      <c r="U494" s="11"/>
    </row>
    <row r="495" spans="2:21" x14ac:dyDescent="0.25">
      <c r="B495" s="10"/>
      <c r="C495" s="3"/>
      <c r="D495" s="3"/>
      <c r="E495" s="3"/>
      <c r="F495" s="3"/>
      <c r="G495" s="3"/>
      <c r="H495" s="82"/>
      <c r="I495" s="82"/>
      <c r="J495" s="3"/>
      <c r="K495" s="3"/>
      <c r="L495" s="3"/>
      <c r="M495" s="82"/>
      <c r="N495" s="3"/>
      <c r="O495" s="3"/>
      <c r="P495" s="3"/>
      <c r="Q495" s="3"/>
      <c r="R495" s="3"/>
      <c r="S495" s="3"/>
      <c r="T495" s="3"/>
      <c r="U495" s="11"/>
    </row>
    <row r="496" spans="2:21" x14ac:dyDescent="0.25">
      <c r="B496" s="10"/>
      <c r="C496" s="3"/>
      <c r="D496" s="250" t="s">
        <v>205</v>
      </c>
      <c r="E496" s="250"/>
      <c r="F496" s="250"/>
      <c r="G496" s="250"/>
      <c r="H496" s="250"/>
      <c r="I496" s="250"/>
      <c r="J496" s="3"/>
      <c r="K496" s="3"/>
      <c r="L496" s="3"/>
      <c r="M496" s="82"/>
      <c r="N496" s="3"/>
      <c r="O496" s="3"/>
      <c r="P496" s="3"/>
      <c r="Q496" s="3"/>
      <c r="R496" s="3"/>
      <c r="S496" s="3"/>
      <c r="T496" s="3"/>
      <c r="U496" s="11"/>
    </row>
    <row r="497" spans="2:21" ht="15" customHeight="1" x14ac:dyDescent="0.25">
      <c r="B497" s="10"/>
      <c r="C497" s="3"/>
      <c r="D497" s="566" t="s">
        <v>22</v>
      </c>
      <c r="E497" s="265" t="s">
        <v>206</v>
      </c>
      <c r="F497" s="265"/>
      <c r="G497" s="224"/>
      <c r="H497" s="251" t="s">
        <v>141</v>
      </c>
      <c r="I497" s="251"/>
      <c r="J497" s="3"/>
      <c r="K497" s="3"/>
      <c r="L497" s="3"/>
      <c r="M497" s="82"/>
      <c r="N497" s="3"/>
      <c r="O497" s="3"/>
      <c r="P497" s="3"/>
      <c r="Q497" s="3"/>
      <c r="R497" s="3"/>
      <c r="S497" s="3"/>
      <c r="T497" s="3"/>
      <c r="U497" s="11"/>
    </row>
    <row r="498" spans="2:21" x14ac:dyDescent="0.25">
      <c r="B498" s="10"/>
      <c r="C498" s="3"/>
      <c r="D498" s="566"/>
      <c r="E498" s="867" t="s">
        <v>444</v>
      </c>
      <c r="F498" s="867"/>
      <c r="G498" s="800"/>
      <c r="H498" s="252"/>
      <c r="I498" s="252"/>
      <c r="J498" s="3"/>
      <c r="K498" s="3"/>
      <c r="L498" s="3"/>
      <c r="M498" s="82"/>
      <c r="N498" s="3"/>
      <c r="O498" s="3"/>
      <c r="P498" s="3"/>
      <c r="Q498" s="3"/>
      <c r="R498" s="3"/>
      <c r="S498" s="3"/>
      <c r="T498" s="3"/>
      <c r="U498" s="11"/>
    </row>
    <row r="499" spans="2:21" x14ac:dyDescent="0.25">
      <c r="B499" s="10"/>
      <c r="C499" s="3"/>
      <c r="D499" s="269"/>
      <c r="E499" s="223" t="s">
        <v>12</v>
      </c>
      <c r="F499" s="223" t="s">
        <v>13</v>
      </c>
      <c r="G499" s="223"/>
      <c r="H499" s="681" t="s">
        <v>12</v>
      </c>
      <c r="I499" s="681" t="s">
        <v>13</v>
      </c>
      <c r="J499" s="3"/>
      <c r="K499" s="3"/>
      <c r="L499" s="3"/>
      <c r="M499" s="82"/>
      <c r="N499" s="3"/>
      <c r="O499" s="3"/>
      <c r="P499" s="3"/>
      <c r="Q499" s="3"/>
      <c r="R499" s="3"/>
      <c r="S499" s="3"/>
      <c r="T499" s="3"/>
      <c r="U499" s="11"/>
    </row>
    <row r="500" spans="2:21" x14ac:dyDescent="0.25">
      <c r="B500" s="10"/>
      <c r="C500" s="3"/>
      <c r="D500" s="124" t="s">
        <v>14</v>
      </c>
      <c r="E500" s="657">
        <f>G387</f>
        <v>6.9102169309666284</v>
      </c>
      <c r="F500" s="657">
        <f>K387</f>
        <v>7.5899197230345115</v>
      </c>
      <c r="G500" s="657"/>
      <c r="H500" s="868">
        <f>E500*'2. Propiedades de Disipador'!$D$36</f>
        <v>6.4159753493631877</v>
      </c>
      <c r="I500" s="868">
        <f>F500*'2. Propiedades de Disipador'!$D$36</f>
        <v>7.0470635485278468</v>
      </c>
      <c r="J500" s="3"/>
      <c r="K500" s="3"/>
      <c r="L500" s="3"/>
      <c r="M500" s="82"/>
      <c r="N500" s="3"/>
      <c r="O500" s="3"/>
      <c r="P500" s="3"/>
      <c r="Q500" s="3"/>
      <c r="R500" s="3"/>
      <c r="S500" s="3"/>
      <c r="T500" s="3"/>
      <c r="U500" s="11"/>
    </row>
    <row r="501" spans="2:21" x14ac:dyDescent="0.25">
      <c r="B501" s="10"/>
      <c r="C501" s="3"/>
      <c r="D501" s="124" t="s">
        <v>147</v>
      </c>
      <c r="E501" s="657">
        <f>G388</f>
        <v>6.9102169309666337</v>
      </c>
      <c r="F501" s="657">
        <f>K388</f>
        <v>7.5899197230345168</v>
      </c>
      <c r="G501" s="657"/>
      <c r="H501" s="868">
        <f>E501*'2. Propiedades de Disipador'!$D$36</f>
        <v>6.4159753493631921</v>
      </c>
      <c r="I501" s="868">
        <f>F501*'2. Propiedades de Disipador'!$D$36</f>
        <v>7.0470635485278521</v>
      </c>
      <c r="J501" s="3"/>
      <c r="K501" s="3"/>
      <c r="L501" s="3"/>
      <c r="M501" s="82"/>
      <c r="N501" s="3"/>
      <c r="O501" s="3"/>
      <c r="P501" s="3"/>
      <c r="Q501" s="3"/>
      <c r="R501" s="3"/>
      <c r="S501" s="3"/>
      <c r="T501" s="3"/>
      <c r="U501" s="11"/>
    </row>
    <row r="502" spans="2:21" x14ac:dyDescent="0.25">
      <c r="B502" s="10"/>
      <c r="C502" s="3"/>
      <c r="D502" s="230" t="s">
        <v>17</v>
      </c>
      <c r="E502" s="657">
        <f>G389</f>
        <v>6.9102169309666301</v>
      </c>
      <c r="F502" s="657">
        <f>K389</f>
        <v>7.5899197230345115</v>
      </c>
      <c r="G502" s="657"/>
      <c r="H502" s="868">
        <f>E502*'2. Propiedades de Disipador'!$D$36</f>
        <v>6.4159753493631895</v>
      </c>
      <c r="I502" s="868">
        <f>F502*'2. Propiedades de Disipador'!$D$36</f>
        <v>7.0470635485278468</v>
      </c>
      <c r="J502" s="3"/>
      <c r="K502" s="3"/>
      <c r="L502" s="3"/>
      <c r="M502" s="82"/>
      <c r="N502" s="3"/>
      <c r="O502" s="3"/>
      <c r="P502" s="3"/>
      <c r="Q502" s="3"/>
      <c r="R502" s="3"/>
      <c r="S502" s="3"/>
      <c r="T502" s="3"/>
      <c r="U502" s="11"/>
    </row>
    <row r="503" spans="2:21" x14ac:dyDescent="0.25">
      <c r="B503" s="10"/>
      <c r="C503" s="3"/>
      <c r="D503" s="124" t="s">
        <v>18</v>
      </c>
      <c r="E503" s="657">
        <f>G390</f>
        <v>6.9102169309666328</v>
      </c>
      <c r="F503" s="657">
        <f>K390</f>
        <v>7.589919723034515</v>
      </c>
      <c r="G503" s="657"/>
      <c r="H503" s="868">
        <f>E503*'2. Propiedades de Disipador'!$D$36</f>
        <v>6.4159753493631912</v>
      </c>
      <c r="I503" s="868">
        <f>F503*'2. Propiedades de Disipador'!$D$36</f>
        <v>7.0470635485278503</v>
      </c>
      <c r="J503" s="3"/>
      <c r="K503" s="3"/>
      <c r="L503" s="3"/>
      <c r="M503" s="82"/>
      <c r="N503" s="3"/>
      <c r="O503" s="3"/>
      <c r="P503" s="3"/>
      <c r="Q503" s="3"/>
      <c r="R503" s="3"/>
      <c r="S503" s="3"/>
      <c r="T503" s="3"/>
      <c r="U503" s="11"/>
    </row>
    <row r="504" spans="2:21" x14ac:dyDescent="0.25">
      <c r="B504" s="10"/>
      <c r="C504" s="3"/>
      <c r="D504" s="230" t="s">
        <v>19</v>
      </c>
      <c r="E504" s="657">
        <f>G391</f>
        <v>6.9102169309666301</v>
      </c>
      <c r="F504" s="657">
        <f>K391</f>
        <v>7.5899197230345123</v>
      </c>
      <c r="G504" s="657"/>
      <c r="H504" s="868">
        <f>E504*'2. Propiedades de Disipador'!$D$36</f>
        <v>6.4159753493631895</v>
      </c>
      <c r="I504" s="868">
        <f>F504*'2. Propiedades de Disipador'!$D$36</f>
        <v>7.0470635485278477</v>
      </c>
      <c r="J504" s="3"/>
      <c r="K504" s="3"/>
      <c r="L504" s="3"/>
      <c r="M504" s="82"/>
      <c r="N504" s="3"/>
      <c r="O504" s="3"/>
      <c r="P504" s="3"/>
      <c r="Q504" s="3"/>
      <c r="R504" s="3"/>
      <c r="S504" s="3"/>
      <c r="T504" s="3"/>
      <c r="U504" s="11"/>
    </row>
    <row r="505" spans="2:21" x14ac:dyDescent="0.25">
      <c r="B505" s="10"/>
      <c r="C505" s="3"/>
      <c r="D505" s="124" t="s">
        <v>16</v>
      </c>
      <c r="E505" s="657">
        <f>G392</f>
        <v>12.01019671782832</v>
      </c>
      <c r="F505" s="657">
        <f>K392</f>
        <v>12.41372661894987</v>
      </c>
      <c r="G505" s="657"/>
      <c r="H505" s="868">
        <f>E505*'2. Propiedades de Disipador'!$D$36</f>
        <v>11.151187705450241</v>
      </c>
      <c r="I505" s="868">
        <f>F505*'2. Propiedades de Disipador'!$D$36</f>
        <v>11.525855812716832</v>
      </c>
      <c r="J505" s="3"/>
      <c r="K505" s="3"/>
      <c r="L505" s="3"/>
      <c r="M505" s="82"/>
      <c r="N505" s="3"/>
      <c r="O505" s="3"/>
      <c r="P505" s="3"/>
      <c r="Q505" s="3"/>
      <c r="R505" s="3"/>
      <c r="S505" s="3"/>
      <c r="T505" s="3"/>
      <c r="U505" s="11"/>
    </row>
    <row r="506" spans="2:21" x14ac:dyDescent="0.25">
      <c r="B506" s="10"/>
      <c r="C506" s="3"/>
      <c r="D506" s="125" t="s">
        <v>30</v>
      </c>
      <c r="E506" s="658">
        <f>G393</f>
        <v>0</v>
      </c>
      <c r="F506" s="658">
        <f>K393</f>
        <v>0</v>
      </c>
      <c r="G506" s="658"/>
      <c r="H506" s="869">
        <f>E506*'2. Propiedades de Disipador'!$D$36</f>
        <v>0</v>
      </c>
      <c r="I506" s="869">
        <f>F506*'2. Propiedades de Disipador'!$D$36</f>
        <v>0</v>
      </c>
      <c r="J506" s="3"/>
      <c r="K506" s="3"/>
      <c r="L506" s="3"/>
      <c r="M506" s="82"/>
      <c r="N506" s="3"/>
      <c r="O506" s="3"/>
      <c r="P506" s="3"/>
      <c r="Q506" s="3"/>
      <c r="R506" s="3"/>
      <c r="S506" s="3"/>
      <c r="T506" s="3"/>
      <c r="U506" s="11"/>
    </row>
    <row r="507" spans="2:21" x14ac:dyDescent="0.25">
      <c r="B507" s="10"/>
      <c r="C507" s="3"/>
      <c r="D507" s="3"/>
      <c r="E507" s="3"/>
      <c r="F507" s="3"/>
      <c r="G507" s="3"/>
      <c r="H507" s="82"/>
      <c r="I507" s="82"/>
      <c r="J507" s="3"/>
      <c r="K507" s="3"/>
      <c r="L507" s="3"/>
      <c r="M507" s="82"/>
      <c r="N507" s="3"/>
      <c r="O507" s="3"/>
      <c r="P507" s="3"/>
      <c r="Q507" s="3"/>
      <c r="R507" s="3"/>
      <c r="S507" s="3"/>
      <c r="T507" s="3"/>
      <c r="U507" s="11"/>
    </row>
    <row r="508" spans="2:21" x14ac:dyDescent="0.25">
      <c r="B508" s="10"/>
      <c r="C508" s="3"/>
      <c r="D508" s="3"/>
      <c r="E508" s="3"/>
      <c r="F508" s="3"/>
      <c r="G508" s="3"/>
      <c r="H508" s="82"/>
      <c r="I508" s="82"/>
      <c r="J508" s="3"/>
      <c r="K508" s="3"/>
      <c r="L508" s="3"/>
      <c r="M508" s="82"/>
      <c r="N508" s="3"/>
      <c r="O508" s="3"/>
      <c r="P508" s="3"/>
      <c r="Q508" s="3"/>
      <c r="R508" s="3"/>
      <c r="S508" s="3"/>
      <c r="T508" s="3"/>
      <c r="U508" s="11"/>
    </row>
    <row r="509" spans="2:21" x14ac:dyDescent="0.25">
      <c r="B509" s="10"/>
      <c r="C509" s="3"/>
      <c r="D509" s="250" t="s">
        <v>207</v>
      </c>
      <c r="E509" s="250"/>
      <c r="F509" s="250"/>
      <c r="G509" s="250"/>
      <c r="H509" s="250"/>
      <c r="I509" s="250"/>
      <c r="J509" s="250"/>
      <c r="K509" s="250"/>
      <c r="L509" s="250"/>
      <c r="M509" s="3"/>
      <c r="N509" s="3"/>
      <c r="O509" s="3"/>
      <c r="P509" s="3"/>
      <c r="Q509" s="3"/>
      <c r="R509" s="3"/>
      <c r="S509" s="3"/>
      <c r="T509" s="3"/>
      <c r="U509" s="11"/>
    </row>
    <row r="510" spans="2:21" ht="15" customHeight="1" x14ac:dyDescent="0.25">
      <c r="B510" s="10"/>
      <c r="C510" s="3"/>
      <c r="D510" s="870" t="s">
        <v>22</v>
      </c>
      <c r="E510" s="871" t="s">
        <v>98</v>
      </c>
      <c r="F510" s="871"/>
      <c r="G510" s="872"/>
      <c r="H510" s="871" t="s">
        <v>448</v>
      </c>
      <c r="I510" s="871"/>
      <c r="J510" s="872"/>
      <c r="K510" s="873" t="s">
        <v>447</v>
      </c>
      <c r="L510" s="873"/>
      <c r="M510" s="3"/>
      <c r="N510" s="3"/>
      <c r="O510" s="3"/>
      <c r="P510" s="3"/>
      <c r="Q510" s="3"/>
      <c r="R510" s="3"/>
      <c r="S510" s="3"/>
      <c r="T510" s="3"/>
      <c r="U510" s="11"/>
    </row>
    <row r="511" spans="2:21" ht="12" customHeight="1" x14ac:dyDescent="0.25">
      <c r="B511" s="10"/>
      <c r="C511" s="3"/>
      <c r="D511" s="870"/>
      <c r="E511" s="874"/>
      <c r="F511" s="874"/>
      <c r="G511" s="872"/>
      <c r="H511" s="874"/>
      <c r="I511" s="874"/>
      <c r="J511" s="872"/>
      <c r="K511" s="875" t="s">
        <v>278</v>
      </c>
      <c r="L511" s="875"/>
      <c r="M511" s="3"/>
      <c r="N511" s="3"/>
      <c r="O511" s="3"/>
      <c r="P511" s="3"/>
      <c r="Q511" s="3"/>
      <c r="R511" s="3"/>
      <c r="S511" s="3"/>
      <c r="T511" s="3"/>
      <c r="U511" s="11"/>
    </row>
    <row r="512" spans="2:21" ht="12.75" customHeight="1" x14ac:dyDescent="0.25">
      <c r="B512" s="10"/>
      <c r="C512" s="3"/>
      <c r="D512" s="876"/>
      <c r="E512" s="177" t="s">
        <v>12</v>
      </c>
      <c r="F512" s="177" t="s">
        <v>13</v>
      </c>
      <c r="G512" s="177"/>
      <c r="H512" s="380" t="s">
        <v>12</v>
      </c>
      <c r="I512" s="177" t="s">
        <v>13</v>
      </c>
      <c r="J512" s="177"/>
      <c r="K512" s="380" t="s">
        <v>12</v>
      </c>
      <c r="L512" s="380" t="s">
        <v>13</v>
      </c>
      <c r="M512" s="3"/>
      <c r="N512" s="3"/>
      <c r="O512" s="3"/>
      <c r="P512" s="3"/>
      <c r="Q512" s="3"/>
      <c r="R512" s="3"/>
      <c r="S512" s="3"/>
      <c r="T512" s="3"/>
      <c r="U512" s="11"/>
    </row>
    <row r="513" spans="2:21" x14ac:dyDescent="0.25">
      <c r="B513" s="10"/>
      <c r="C513" s="3"/>
      <c r="D513" s="486" t="s">
        <v>14</v>
      </c>
      <c r="E513" s="877">
        <f>'2. Propiedades de Disipador'!G72</f>
        <v>8</v>
      </c>
      <c r="F513" s="877">
        <f>'2. Propiedades de Disipador'!H72</f>
        <v>10</v>
      </c>
      <c r="G513" s="877"/>
      <c r="H513" s="877">
        <f>H500</f>
        <v>6.4159753493631877</v>
      </c>
      <c r="I513" s="877">
        <f>I500</f>
        <v>7.0470635485278468</v>
      </c>
      <c r="J513" s="877"/>
      <c r="K513" s="878">
        <f t="shared" ref="K513:K519" si="55">E513*H513</f>
        <v>51.327802794905502</v>
      </c>
      <c r="L513" s="878">
        <f>F513*I513</f>
        <v>70.470635485278464</v>
      </c>
      <c r="M513" s="3"/>
      <c r="N513" s="3"/>
      <c r="O513" s="3"/>
      <c r="P513" s="3"/>
      <c r="Q513" s="3"/>
      <c r="R513" s="3"/>
      <c r="S513" s="3"/>
      <c r="T513" s="3"/>
      <c r="U513" s="11"/>
    </row>
    <row r="514" spans="2:21" x14ac:dyDescent="0.25">
      <c r="B514" s="10"/>
      <c r="C514" s="3"/>
      <c r="D514" s="486" t="s">
        <v>147</v>
      </c>
      <c r="E514" s="877">
        <f>'2. Propiedades de Disipador'!G73</f>
        <v>8</v>
      </c>
      <c r="F514" s="877">
        <f>'2. Propiedades de Disipador'!H73</f>
        <v>10</v>
      </c>
      <c r="G514" s="877"/>
      <c r="H514" s="877">
        <f>H501</f>
        <v>6.4159753493631921</v>
      </c>
      <c r="I514" s="877">
        <f>I501</f>
        <v>7.0470635485278521</v>
      </c>
      <c r="J514" s="877"/>
      <c r="K514" s="878">
        <f t="shared" si="55"/>
        <v>51.327802794905537</v>
      </c>
      <c r="L514" s="878">
        <f>F514*I514</f>
        <v>70.470635485278521</v>
      </c>
      <c r="M514" s="3"/>
      <c r="N514" s="3"/>
      <c r="O514" s="3"/>
      <c r="P514" s="3"/>
      <c r="Q514" s="3"/>
      <c r="R514" s="3"/>
      <c r="S514" s="3"/>
      <c r="T514" s="3"/>
      <c r="U514" s="11"/>
    </row>
    <row r="515" spans="2:21" x14ac:dyDescent="0.25">
      <c r="B515" s="10"/>
      <c r="C515" s="3"/>
      <c r="D515" s="143" t="s">
        <v>17</v>
      </c>
      <c r="E515" s="877">
        <f>'2. Propiedades de Disipador'!G74</f>
        <v>8</v>
      </c>
      <c r="F515" s="877">
        <f>'2. Propiedades de Disipador'!H74</f>
        <v>10</v>
      </c>
      <c r="G515" s="877"/>
      <c r="H515" s="877">
        <f>H502</f>
        <v>6.4159753493631895</v>
      </c>
      <c r="I515" s="877">
        <f>I502</f>
        <v>7.0470635485278468</v>
      </c>
      <c r="J515" s="877"/>
      <c r="K515" s="878">
        <f t="shared" si="55"/>
        <v>51.327802794905516</v>
      </c>
      <c r="L515" s="878">
        <f>F515*I515</f>
        <v>70.470635485278464</v>
      </c>
      <c r="M515" s="3"/>
      <c r="N515" s="3"/>
      <c r="O515" s="3"/>
      <c r="P515" s="3"/>
      <c r="Q515" s="3"/>
      <c r="R515" s="3"/>
      <c r="S515" s="3"/>
      <c r="T515" s="3"/>
      <c r="U515" s="11"/>
    </row>
    <row r="516" spans="2:21" x14ac:dyDescent="0.25">
      <c r="B516" s="10"/>
      <c r="C516" s="3"/>
      <c r="D516" s="486" t="s">
        <v>18</v>
      </c>
      <c r="E516" s="877">
        <f>'2. Propiedades de Disipador'!G75</f>
        <v>17</v>
      </c>
      <c r="F516" s="877">
        <f>'2. Propiedades de Disipador'!H75</f>
        <v>20</v>
      </c>
      <c r="G516" s="877"/>
      <c r="H516" s="877">
        <f>H503</f>
        <v>6.4159753493631912</v>
      </c>
      <c r="I516" s="877">
        <f>I503</f>
        <v>7.0470635485278503</v>
      </c>
      <c r="J516" s="877"/>
      <c r="K516" s="878">
        <f t="shared" si="55"/>
        <v>109.07158093917425</v>
      </c>
      <c r="L516" s="878">
        <f>F516*I516</f>
        <v>140.94127097055701</v>
      </c>
      <c r="M516" s="3"/>
      <c r="N516" s="3"/>
      <c r="O516" s="3"/>
      <c r="P516" s="3"/>
      <c r="Q516" s="3"/>
      <c r="R516" s="3"/>
      <c r="S516" s="3"/>
      <c r="T516" s="3"/>
      <c r="U516" s="11"/>
    </row>
    <row r="517" spans="2:21" x14ac:dyDescent="0.25">
      <c r="B517" s="10"/>
      <c r="C517" s="3"/>
      <c r="D517" s="143" t="s">
        <v>19</v>
      </c>
      <c r="E517" s="877">
        <f>'2. Propiedades de Disipador'!G76</f>
        <v>17</v>
      </c>
      <c r="F517" s="877">
        <f>'2. Propiedades de Disipador'!H76</f>
        <v>20</v>
      </c>
      <c r="G517" s="877"/>
      <c r="H517" s="877">
        <f>H504</f>
        <v>6.4159753493631895</v>
      </c>
      <c r="I517" s="877">
        <f>I504</f>
        <v>7.0470635485278477</v>
      </c>
      <c r="J517" s="877"/>
      <c r="K517" s="878">
        <f t="shared" si="55"/>
        <v>109.07158093917423</v>
      </c>
      <c r="L517" s="878">
        <f>F517*I517</f>
        <v>140.94127097055696</v>
      </c>
      <c r="M517" s="3"/>
      <c r="N517" s="3"/>
      <c r="O517" s="3"/>
      <c r="P517" s="3"/>
      <c r="Q517" s="3"/>
      <c r="R517" s="3"/>
      <c r="S517" s="3"/>
      <c r="T517" s="3"/>
      <c r="U517" s="11"/>
    </row>
    <row r="518" spans="2:21" x14ac:dyDescent="0.25">
      <c r="B518" s="10"/>
      <c r="C518" s="3"/>
      <c r="D518" s="486" t="s">
        <v>16</v>
      </c>
      <c r="E518" s="877">
        <f>'2. Propiedades de Disipador'!G77</f>
        <v>17</v>
      </c>
      <c r="F518" s="877">
        <f>'2. Propiedades de Disipador'!H77</f>
        <v>20</v>
      </c>
      <c r="G518" s="877"/>
      <c r="H518" s="877">
        <f>H505</f>
        <v>11.151187705450241</v>
      </c>
      <c r="I518" s="877">
        <f>I505</f>
        <v>11.525855812716832</v>
      </c>
      <c r="J518" s="877"/>
      <c r="K518" s="878">
        <f t="shared" si="55"/>
        <v>189.57019099265409</v>
      </c>
      <c r="L518" s="878">
        <f>F518*I518</f>
        <v>230.51711625433666</v>
      </c>
      <c r="M518" s="3"/>
      <c r="N518" s="3"/>
      <c r="O518" s="3"/>
      <c r="P518" s="3"/>
      <c r="Q518" s="3"/>
      <c r="R518" s="3"/>
      <c r="S518" s="3"/>
      <c r="T518" s="3"/>
      <c r="U518" s="11"/>
    </row>
    <row r="519" spans="2:21" x14ac:dyDescent="0.25">
      <c r="B519" s="10"/>
      <c r="C519" s="3"/>
      <c r="D519" s="146" t="s">
        <v>30</v>
      </c>
      <c r="E519" s="879">
        <f>'2. Propiedades de Disipador'!G78</f>
        <v>0</v>
      </c>
      <c r="F519" s="879">
        <f>'2. Propiedades de Disipador'!H78</f>
        <v>0</v>
      </c>
      <c r="G519" s="879"/>
      <c r="H519" s="879">
        <f>H506</f>
        <v>0</v>
      </c>
      <c r="I519" s="879">
        <f>I506</f>
        <v>0</v>
      </c>
      <c r="J519" s="879"/>
      <c r="K519" s="880">
        <f t="shared" si="55"/>
        <v>0</v>
      </c>
      <c r="L519" s="880">
        <f>F519*I519</f>
        <v>0</v>
      </c>
      <c r="M519" s="3"/>
      <c r="N519" s="3"/>
      <c r="O519" s="3"/>
      <c r="P519" s="3"/>
      <c r="Q519" s="3"/>
      <c r="R519" s="3"/>
      <c r="S519" s="3"/>
      <c r="T519" s="3"/>
      <c r="U519" s="11"/>
    </row>
    <row r="520" spans="2:21" x14ac:dyDescent="0.25">
      <c r="B520" s="10"/>
      <c r="C520" s="3"/>
      <c r="D520" s="3"/>
      <c r="E520" s="3"/>
      <c r="F520" s="3"/>
      <c r="G520" s="3"/>
      <c r="H520" s="82"/>
      <c r="I520" s="82"/>
      <c r="J520" s="3"/>
      <c r="K520" s="3"/>
      <c r="L520" s="3"/>
      <c r="M520" s="82"/>
      <c r="N520" s="3"/>
      <c r="O520" s="3"/>
      <c r="P520" s="3"/>
      <c r="Q520" s="3"/>
      <c r="R520" s="3"/>
      <c r="S520" s="3"/>
      <c r="T520" s="3"/>
      <c r="U520" s="11"/>
    </row>
    <row r="521" spans="2:21" ht="15.75" thickBot="1" x14ac:dyDescent="0.3">
      <c r="B521" s="23"/>
      <c r="C521" s="24"/>
      <c r="D521" s="24"/>
      <c r="E521" s="24"/>
      <c r="F521" s="24"/>
      <c r="G521" s="24"/>
      <c r="H521" s="208"/>
      <c r="I521" s="208"/>
      <c r="J521" s="24"/>
      <c r="K521" s="24"/>
      <c r="L521" s="24"/>
      <c r="M521" s="208"/>
      <c r="N521" s="24"/>
      <c r="O521" s="24"/>
      <c r="P521" s="24"/>
      <c r="Q521" s="24"/>
      <c r="R521" s="24"/>
      <c r="S521" s="24"/>
      <c r="T521" s="24"/>
      <c r="U521" s="25"/>
    </row>
    <row r="522" spans="2:21" x14ac:dyDescent="0.25">
      <c r="B522" s="7"/>
      <c r="C522" s="8"/>
      <c r="D522" s="8"/>
      <c r="E522" s="8"/>
      <c r="F522" s="8"/>
      <c r="G522" s="8"/>
      <c r="H522" s="220"/>
      <c r="I522" s="220"/>
      <c r="J522" s="8"/>
      <c r="K522" s="8"/>
      <c r="L522" s="8"/>
      <c r="M522" s="220"/>
      <c r="N522" s="8"/>
      <c r="O522" s="8"/>
      <c r="P522" s="8"/>
      <c r="Q522" s="8"/>
      <c r="R522" s="8"/>
      <c r="S522" s="8"/>
      <c r="T522" s="8"/>
      <c r="U522" s="9"/>
    </row>
    <row r="523" spans="2:21" x14ac:dyDescent="0.25">
      <c r="B523" s="10"/>
      <c r="C523" s="733" t="s">
        <v>513</v>
      </c>
      <c r="D523" s="733"/>
      <c r="E523" s="733"/>
      <c r="F523" s="733"/>
      <c r="G523" s="733"/>
      <c r="H523" s="733"/>
      <c r="I523" s="733"/>
      <c r="J523" s="733"/>
      <c r="K523" s="733"/>
      <c r="L523" s="733"/>
      <c r="M523" s="733"/>
      <c r="N523" s="733"/>
      <c r="O523" s="3"/>
      <c r="P523" s="3"/>
      <c r="Q523" s="3"/>
      <c r="R523" s="3"/>
      <c r="S523" s="3"/>
      <c r="T523" s="3"/>
      <c r="U523" s="11"/>
    </row>
    <row r="524" spans="2:21" x14ac:dyDescent="0.25">
      <c r="B524" s="10"/>
      <c r="C524" s="733"/>
      <c r="D524" s="733"/>
      <c r="E524" s="733"/>
      <c r="F524" s="733"/>
      <c r="G524" s="733"/>
      <c r="H524" s="733"/>
      <c r="I524" s="733"/>
      <c r="J524" s="733"/>
      <c r="K524" s="733"/>
      <c r="L524" s="733"/>
      <c r="M524" s="733"/>
      <c r="N524" s="733"/>
      <c r="O524" s="3"/>
      <c r="P524" s="3"/>
      <c r="Q524" s="3"/>
      <c r="R524" s="3"/>
      <c r="S524" s="3"/>
      <c r="T524" s="3"/>
      <c r="U524" s="11"/>
    </row>
    <row r="525" spans="2:21" x14ac:dyDescent="0.25">
      <c r="B525" s="10"/>
      <c r="C525" s="3"/>
      <c r="D525" s="3"/>
      <c r="E525" s="3"/>
      <c r="F525" s="3"/>
      <c r="G525" s="3"/>
      <c r="H525" s="82"/>
      <c r="I525" s="82"/>
      <c r="J525" s="3"/>
      <c r="K525" s="3"/>
      <c r="L525" s="3"/>
      <c r="M525" s="82"/>
      <c r="N525" s="3"/>
      <c r="O525" s="3"/>
      <c r="P525" s="3"/>
      <c r="Q525" s="3"/>
      <c r="R525" s="3"/>
      <c r="S525" s="3"/>
      <c r="T525" s="3"/>
      <c r="U525" s="11"/>
    </row>
    <row r="526" spans="2:21" x14ac:dyDescent="0.25">
      <c r="B526" s="10"/>
      <c r="C526" s="3"/>
      <c r="D526" s="268" t="s">
        <v>22</v>
      </c>
      <c r="E526" s="265" t="s">
        <v>98</v>
      </c>
      <c r="F526" s="265"/>
      <c r="G526" s="224"/>
      <c r="H526" s="251" t="s">
        <v>139</v>
      </c>
      <c r="I526" s="251"/>
      <c r="J526" s="212"/>
      <c r="K526" s="881" t="s">
        <v>449</v>
      </c>
      <c r="L526" s="265"/>
      <c r="M526" s="808"/>
      <c r="N526" s="265" t="s">
        <v>142</v>
      </c>
      <c r="O526" s="265"/>
      <c r="P526" s="3"/>
      <c r="Q526" s="3"/>
      <c r="R526" s="3"/>
      <c r="S526" s="3"/>
      <c r="T526" s="3"/>
      <c r="U526" s="11"/>
    </row>
    <row r="527" spans="2:21" ht="12" customHeight="1" x14ac:dyDescent="0.25">
      <c r="B527" s="10"/>
      <c r="C527" s="3"/>
      <c r="D527" s="566"/>
      <c r="E527" s="763" t="s">
        <v>143</v>
      </c>
      <c r="F527" s="763"/>
      <c r="G527" s="800"/>
      <c r="H527" s="252"/>
      <c r="I527" s="252"/>
      <c r="J527" s="202"/>
      <c r="K527" s="763" t="s">
        <v>144</v>
      </c>
      <c r="L527" s="763"/>
      <c r="M527" s="882"/>
      <c r="N527" s="763" t="s">
        <v>145</v>
      </c>
      <c r="O527" s="763"/>
      <c r="P527" s="3"/>
      <c r="Q527" s="3"/>
      <c r="R527" s="3"/>
      <c r="S527" s="3"/>
      <c r="T527" s="3"/>
      <c r="U527" s="11"/>
    </row>
    <row r="528" spans="2:21" x14ac:dyDescent="0.25">
      <c r="B528" s="10"/>
      <c r="C528" s="3"/>
      <c r="D528" s="269"/>
      <c r="E528" s="223" t="s">
        <v>12</v>
      </c>
      <c r="F528" s="223" t="s">
        <v>13</v>
      </c>
      <c r="G528" s="223"/>
      <c r="H528" s="223" t="s">
        <v>12</v>
      </c>
      <c r="I528" s="223" t="s">
        <v>13</v>
      </c>
      <c r="J528" s="223"/>
      <c r="K528" s="223" t="s">
        <v>12</v>
      </c>
      <c r="L528" s="223" t="s">
        <v>13</v>
      </c>
      <c r="M528" s="223"/>
      <c r="N528" s="223" t="s">
        <v>12</v>
      </c>
      <c r="O528" s="223" t="s">
        <v>13</v>
      </c>
      <c r="P528" s="3"/>
      <c r="Q528" s="3"/>
      <c r="R528" s="3"/>
      <c r="S528" s="3"/>
      <c r="T528" s="3"/>
      <c r="U528" s="11"/>
    </row>
    <row r="529" spans="2:21" x14ac:dyDescent="0.25">
      <c r="B529" s="10"/>
      <c r="C529" s="3"/>
      <c r="D529" s="124" t="s">
        <v>14</v>
      </c>
      <c r="E529" s="570">
        <f>'2. Propiedades de Disipador'!G72</f>
        <v>8</v>
      </c>
      <c r="F529" s="570">
        <f>'2. Propiedades de Disipador'!H72</f>
        <v>10</v>
      </c>
      <c r="G529" s="570"/>
      <c r="H529" s="570">
        <f>H488</f>
        <v>3.595944413430614</v>
      </c>
      <c r="I529" s="570">
        <f>I488</f>
        <v>2.7727911435792723</v>
      </c>
      <c r="J529" s="570"/>
      <c r="K529" s="570">
        <f>H500</f>
        <v>6.4159753493631877</v>
      </c>
      <c r="L529" s="570">
        <f>I500</f>
        <v>7.0470635485278468</v>
      </c>
      <c r="M529" s="570"/>
      <c r="N529" s="164">
        <f t="shared" ref="N529:N535" si="56">K513</f>
        <v>51.327802794905502</v>
      </c>
      <c r="O529" s="164">
        <f t="shared" ref="O529:O535" si="57">L513</f>
        <v>70.470635485278464</v>
      </c>
      <c r="P529" s="3"/>
      <c r="Q529" s="3"/>
      <c r="R529" s="3"/>
      <c r="S529" s="3"/>
      <c r="T529" s="3"/>
      <c r="U529" s="11"/>
    </row>
    <row r="530" spans="2:21" x14ac:dyDescent="0.25">
      <c r="B530" s="10"/>
      <c r="C530" s="3"/>
      <c r="D530" s="124" t="s">
        <v>147</v>
      </c>
      <c r="E530" s="570">
        <f>'2. Propiedades de Disipador'!G73</f>
        <v>8</v>
      </c>
      <c r="F530" s="570">
        <f>'2. Propiedades de Disipador'!H73</f>
        <v>10</v>
      </c>
      <c r="G530" s="570"/>
      <c r="H530" s="570">
        <f>H489</f>
        <v>3.5959444134306153</v>
      </c>
      <c r="I530" s="570">
        <f>I489</f>
        <v>2.7727911435792745</v>
      </c>
      <c r="J530" s="570"/>
      <c r="K530" s="570">
        <f>H501</f>
        <v>6.4159753493631921</v>
      </c>
      <c r="L530" s="570">
        <f>I501</f>
        <v>7.0470635485278521</v>
      </c>
      <c r="M530" s="570"/>
      <c r="N530" s="164">
        <f t="shared" si="56"/>
        <v>51.327802794905537</v>
      </c>
      <c r="O530" s="164">
        <f t="shared" si="57"/>
        <v>70.470635485278521</v>
      </c>
      <c r="P530" s="3"/>
      <c r="Q530" s="3"/>
      <c r="R530" s="3"/>
      <c r="S530" s="3"/>
      <c r="T530" s="3"/>
      <c r="U530" s="11"/>
    </row>
    <row r="531" spans="2:21" x14ac:dyDescent="0.25">
      <c r="B531" s="10"/>
      <c r="C531" s="3"/>
      <c r="D531" s="230" t="s">
        <v>17</v>
      </c>
      <c r="E531" s="570">
        <f>'2. Propiedades de Disipador'!G74</f>
        <v>8</v>
      </c>
      <c r="F531" s="570">
        <f>'2. Propiedades de Disipador'!H74</f>
        <v>10</v>
      </c>
      <c r="G531" s="570"/>
      <c r="H531" s="570">
        <f>H490</f>
        <v>3.595944413430614</v>
      </c>
      <c r="I531" s="570">
        <f>I490</f>
        <v>2.7727911435792727</v>
      </c>
      <c r="J531" s="570"/>
      <c r="K531" s="570">
        <f>H502</f>
        <v>6.4159753493631895</v>
      </c>
      <c r="L531" s="570">
        <f>I502</f>
        <v>7.0470635485278468</v>
      </c>
      <c r="M531" s="570"/>
      <c r="N531" s="164">
        <f t="shared" si="56"/>
        <v>51.327802794905516</v>
      </c>
      <c r="O531" s="164">
        <f t="shared" si="57"/>
        <v>70.470635485278464</v>
      </c>
      <c r="P531" s="3"/>
      <c r="Q531" s="3"/>
      <c r="R531" s="3"/>
      <c r="S531" s="3"/>
      <c r="T531" s="3"/>
      <c r="U531" s="11"/>
    </row>
    <row r="532" spans="2:21" x14ac:dyDescent="0.25">
      <c r="B532" s="10"/>
      <c r="C532" s="3"/>
      <c r="D532" s="124" t="s">
        <v>18</v>
      </c>
      <c r="E532" s="570">
        <f>'2. Propiedades de Disipador'!G75</f>
        <v>17</v>
      </c>
      <c r="F532" s="570">
        <f>'2. Propiedades de Disipador'!H75</f>
        <v>20</v>
      </c>
      <c r="G532" s="570"/>
      <c r="H532" s="570">
        <f>H491</f>
        <v>3.5959444134306149</v>
      </c>
      <c r="I532" s="570">
        <f>I491</f>
        <v>2.7727911435792736</v>
      </c>
      <c r="J532" s="570"/>
      <c r="K532" s="570">
        <f>H503</f>
        <v>6.4159753493631912</v>
      </c>
      <c r="L532" s="570">
        <f>I503</f>
        <v>7.0470635485278503</v>
      </c>
      <c r="M532" s="570"/>
      <c r="N532" s="164">
        <f t="shared" si="56"/>
        <v>109.07158093917425</v>
      </c>
      <c r="O532" s="164">
        <f t="shared" si="57"/>
        <v>140.94127097055701</v>
      </c>
      <c r="P532" s="3"/>
      <c r="Q532" s="3"/>
      <c r="R532" s="3"/>
      <c r="S532" s="3"/>
      <c r="T532" s="3"/>
      <c r="U532" s="11"/>
    </row>
    <row r="533" spans="2:21" x14ac:dyDescent="0.25">
      <c r="B533" s="10"/>
      <c r="C533" s="3"/>
      <c r="D533" s="230" t="s">
        <v>19</v>
      </c>
      <c r="E533" s="570">
        <f>'2. Propiedades de Disipador'!G76</f>
        <v>17</v>
      </c>
      <c r="F533" s="570">
        <f>'2. Propiedades de Disipador'!H76</f>
        <v>20</v>
      </c>
      <c r="G533" s="570"/>
      <c r="H533" s="570">
        <f>H492</f>
        <v>3.595944413430614</v>
      </c>
      <c r="I533" s="570">
        <f>I492</f>
        <v>2.7727911435792727</v>
      </c>
      <c r="J533" s="570"/>
      <c r="K533" s="570">
        <f>H504</f>
        <v>6.4159753493631895</v>
      </c>
      <c r="L533" s="570">
        <f>I504</f>
        <v>7.0470635485278477</v>
      </c>
      <c r="M533" s="570"/>
      <c r="N533" s="164">
        <f t="shared" si="56"/>
        <v>109.07158093917423</v>
      </c>
      <c r="O533" s="164">
        <f t="shared" si="57"/>
        <v>140.94127097055696</v>
      </c>
      <c r="P533" s="3"/>
      <c r="Q533" s="3"/>
      <c r="R533" s="3"/>
      <c r="S533" s="3"/>
      <c r="T533" s="3"/>
      <c r="U533" s="11"/>
    </row>
    <row r="534" spans="2:21" x14ac:dyDescent="0.25">
      <c r="B534" s="10"/>
      <c r="C534" s="3"/>
      <c r="D534" s="124" t="s">
        <v>16</v>
      </c>
      <c r="E534" s="570">
        <f>'2. Propiedades de Disipador'!G77</f>
        <v>17</v>
      </c>
      <c r="F534" s="570">
        <f>'2. Propiedades de Disipador'!H77</f>
        <v>20</v>
      </c>
      <c r="G534" s="570"/>
      <c r="H534" s="570">
        <f>H493</f>
        <v>4.0623576148449949</v>
      </c>
      <c r="I534" s="570">
        <f>I493</f>
        <v>3.0607038863756371</v>
      </c>
      <c r="J534" s="570"/>
      <c r="K534" s="570">
        <f>H505</f>
        <v>11.151187705450241</v>
      </c>
      <c r="L534" s="570">
        <f>I505</f>
        <v>11.525855812716832</v>
      </c>
      <c r="M534" s="570"/>
      <c r="N534" s="164">
        <f t="shared" si="56"/>
        <v>189.57019099265409</v>
      </c>
      <c r="O534" s="164">
        <f t="shared" si="57"/>
        <v>230.51711625433666</v>
      </c>
      <c r="P534" s="3"/>
      <c r="Q534" s="3"/>
      <c r="R534" s="3"/>
      <c r="S534" s="3"/>
      <c r="T534" s="3"/>
      <c r="U534" s="11"/>
    </row>
    <row r="535" spans="2:21" x14ac:dyDescent="0.25">
      <c r="B535" s="10"/>
      <c r="C535" s="3"/>
      <c r="D535" s="125" t="s">
        <v>30</v>
      </c>
      <c r="E535" s="573">
        <f>'2. Propiedades de Disipador'!G78</f>
        <v>0</v>
      </c>
      <c r="F535" s="573">
        <f>'2. Propiedades de Disipador'!H78</f>
        <v>0</v>
      </c>
      <c r="G535" s="573"/>
      <c r="H535" s="573">
        <f>H494</f>
        <v>0</v>
      </c>
      <c r="I535" s="573">
        <f>I494</f>
        <v>0</v>
      </c>
      <c r="J535" s="573"/>
      <c r="K535" s="573">
        <f>H506</f>
        <v>0</v>
      </c>
      <c r="L535" s="573">
        <f>I506</f>
        <v>0</v>
      </c>
      <c r="M535" s="573"/>
      <c r="N535" s="572">
        <f t="shared" si="56"/>
        <v>0</v>
      </c>
      <c r="O535" s="572">
        <f t="shared" si="57"/>
        <v>0</v>
      </c>
      <c r="P535" s="3"/>
      <c r="Q535" s="3"/>
      <c r="R535" s="3"/>
      <c r="S535" s="3"/>
      <c r="T535" s="3"/>
      <c r="U535" s="11"/>
    </row>
    <row r="536" spans="2:21" x14ac:dyDescent="0.25">
      <c r="B536" s="10"/>
      <c r="C536" s="3"/>
      <c r="D536" s="3"/>
      <c r="E536" s="3"/>
      <c r="F536" s="3"/>
      <c r="G536" s="3"/>
      <c r="H536" s="82"/>
      <c r="I536" s="82"/>
      <c r="J536" s="3"/>
      <c r="K536" s="3"/>
      <c r="L536" s="3"/>
      <c r="M536" s="82"/>
      <c r="N536" s="3"/>
      <c r="O536" s="3"/>
      <c r="P536" s="3"/>
      <c r="Q536" s="3"/>
      <c r="R536" s="3"/>
      <c r="S536" s="3"/>
      <c r="T536" s="3"/>
      <c r="U536" s="11"/>
    </row>
    <row r="537" spans="2:21" ht="15.75" thickBot="1" x14ac:dyDescent="0.3">
      <c r="B537" s="23"/>
      <c r="C537" s="24"/>
      <c r="D537" s="24"/>
      <c r="E537" s="24"/>
      <c r="F537" s="24"/>
      <c r="G537" s="24"/>
      <c r="H537" s="208"/>
      <c r="I537" s="208"/>
      <c r="J537" s="24"/>
      <c r="K537" s="24"/>
      <c r="L537" s="24"/>
      <c r="M537" s="208"/>
      <c r="N537" s="24"/>
      <c r="O537" s="24"/>
      <c r="P537" s="24"/>
      <c r="Q537" s="24"/>
      <c r="R537" s="24"/>
      <c r="S537" s="24"/>
      <c r="T537" s="24"/>
      <c r="U537" s="25"/>
    </row>
    <row r="538" spans="2:21" x14ac:dyDescent="0.25">
      <c r="B538" s="1"/>
      <c r="C538" s="1"/>
      <c r="D538" s="1"/>
      <c r="E538" s="1"/>
      <c r="F538" s="1"/>
      <c r="G538" s="1"/>
      <c r="H538" s="576"/>
      <c r="I538" s="576"/>
      <c r="J538" s="1"/>
      <c r="K538" s="1"/>
      <c r="L538" s="1"/>
      <c r="M538" s="576"/>
      <c r="N538" s="1"/>
      <c r="O538" s="1"/>
      <c r="P538" s="1"/>
      <c r="Q538" s="1"/>
      <c r="R538" s="1"/>
    </row>
    <row r="539" spans="2:21" x14ac:dyDescent="0.25">
      <c r="B539" s="1"/>
      <c r="C539" s="1"/>
      <c r="D539" s="1"/>
      <c r="E539" s="1"/>
      <c r="F539" s="1"/>
      <c r="G539" s="1"/>
      <c r="H539" s="576"/>
      <c r="I539" s="576"/>
      <c r="J539" s="1"/>
      <c r="K539" s="1"/>
      <c r="L539" s="1"/>
      <c r="M539" s="576"/>
      <c r="N539" s="1"/>
      <c r="O539" s="1"/>
      <c r="P539" s="1"/>
      <c r="Q539" s="1"/>
      <c r="R539" s="1"/>
    </row>
    <row r="540" spans="2:21" x14ac:dyDescent="0.25">
      <c r="B540" s="1"/>
      <c r="C540" s="1"/>
      <c r="D540" s="1"/>
      <c r="E540" s="1"/>
      <c r="F540" s="1"/>
      <c r="G540" s="1"/>
      <c r="H540" s="576"/>
      <c r="I540" s="576"/>
      <c r="J540" s="1"/>
      <c r="K540" s="1"/>
      <c r="L540" s="1"/>
      <c r="M540" s="576"/>
      <c r="N540" s="1"/>
      <c r="O540" s="1"/>
      <c r="P540" s="1"/>
      <c r="Q540" s="1"/>
      <c r="R540" s="1"/>
    </row>
    <row r="541" spans="2:21" x14ac:dyDescent="0.25">
      <c r="B541" s="1"/>
      <c r="C541" s="1"/>
      <c r="D541" s="1"/>
      <c r="E541" s="1"/>
      <c r="F541" s="1"/>
      <c r="G541" s="1"/>
      <c r="H541" s="576"/>
      <c r="I541" s="576"/>
      <c r="J541" s="1"/>
      <c r="K541" s="1"/>
      <c r="L541" s="1"/>
      <c r="M541" s="576"/>
      <c r="N541" s="1"/>
      <c r="O541" s="1"/>
      <c r="P541" s="1"/>
      <c r="Q541" s="1"/>
      <c r="R541" s="1"/>
    </row>
    <row r="542" spans="2:21" x14ac:dyDescent="0.25">
      <c r="B542" s="1"/>
      <c r="C542" s="1"/>
      <c r="D542" s="1"/>
      <c r="E542" s="1"/>
      <c r="F542" s="1"/>
      <c r="G542" s="1"/>
      <c r="H542" s="576"/>
      <c r="I542" s="576"/>
      <c r="J542" s="1"/>
      <c r="K542" s="1"/>
      <c r="L542" s="1"/>
      <c r="M542" s="576"/>
      <c r="N542" s="1"/>
      <c r="O542" s="1"/>
      <c r="P542" s="1"/>
      <c r="Q542" s="1"/>
      <c r="R542" s="1"/>
    </row>
    <row r="543" spans="2:21" x14ac:dyDescent="0.25">
      <c r="B543" s="1"/>
      <c r="C543" s="1"/>
      <c r="D543" s="1"/>
      <c r="E543" s="1"/>
      <c r="F543" s="1"/>
      <c r="G543" s="1"/>
      <c r="H543" s="576"/>
      <c r="I543" s="576"/>
      <c r="J543" s="1"/>
      <c r="K543" s="1"/>
      <c r="L543" s="1"/>
      <c r="M543" s="576"/>
      <c r="N543" s="1"/>
      <c r="O543" s="1"/>
      <c r="P543" s="1"/>
      <c r="Q543" s="1"/>
      <c r="R543" s="1"/>
    </row>
    <row r="544" spans="2:21" x14ac:dyDescent="0.25">
      <c r="B544" s="1"/>
      <c r="C544" s="1"/>
      <c r="D544" s="1"/>
      <c r="E544" s="1"/>
      <c r="F544" s="1"/>
      <c r="G544" s="1"/>
      <c r="H544" s="576"/>
      <c r="I544" s="576"/>
      <c r="J544" s="1"/>
      <c r="K544" s="1"/>
      <c r="L544" s="1"/>
      <c r="M544" s="576"/>
      <c r="N544" s="1"/>
      <c r="O544" s="1"/>
      <c r="P544" s="1"/>
      <c r="Q544" s="1"/>
      <c r="R544" s="1"/>
    </row>
    <row r="545" spans="2:18" x14ac:dyDescent="0.25">
      <c r="B545" s="1"/>
      <c r="C545" s="1"/>
      <c r="D545" s="1"/>
      <c r="E545" s="1"/>
      <c r="F545" s="1"/>
      <c r="G545" s="1"/>
      <c r="H545" s="576"/>
      <c r="I545" s="576"/>
      <c r="J545" s="1"/>
      <c r="K545" s="1"/>
      <c r="L545" s="1"/>
      <c r="M545" s="576"/>
      <c r="N545" s="1"/>
      <c r="O545" s="1"/>
      <c r="P545" s="1"/>
      <c r="Q545" s="1"/>
      <c r="R545" s="1"/>
    </row>
    <row r="546" spans="2:18" x14ac:dyDescent="0.25">
      <c r="B546" s="1"/>
      <c r="C546" s="1"/>
      <c r="D546" s="1"/>
      <c r="E546" s="1"/>
      <c r="F546" s="1"/>
      <c r="G546" s="1"/>
      <c r="H546" s="576"/>
      <c r="I546" s="576"/>
      <c r="J546" s="1"/>
      <c r="K546" s="1"/>
      <c r="L546" s="1"/>
      <c r="M546" s="576"/>
      <c r="N546" s="1"/>
      <c r="O546" s="1"/>
      <c r="P546" s="1"/>
      <c r="Q546" s="1"/>
      <c r="R546" s="1"/>
    </row>
    <row r="547" spans="2:18" x14ac:dyDescent="0.25">
      <c r="B547" s="1"/>
      <c r="C547" s="1"/>
      <c r="D547" s="1"/>
      <c r="E547" s="1"/>
      <c r="F547" s="1"/>
      <c r="G547" s="1"/>
      <c r="H547" s="576"/>
      <c r="I547" s="576"/>
      <c r="J547" s="1"/>
      <c r="K547" s="1"/>
      <c r="L547" s="1"/>
      <c r="M547" s="576"/>
      <c r="N547" s="1"/>
      <c r="O547" s="1"/>
      <c r="P547" s="1"/>
      <c r="Q547" s="1"/>
      <c r="R547" s="1"/>
    </row>
    <row r="548" spans="2:18" x14ac:dyDescent="0.25">
      <c r="B548" s="1"/>
      <c r="C548" s="1"/>
      <c r="D548" s="1"/>
      <c r="E548" s="1"/>
      <c r="F548" s="1"/>
      <c r="G548" s="1"/>
      <c r="H548" s="576"/>
      <c r="I548" s="576"/>
      <c r="J548" s="1"/>
      <c r="K548" s="1"/>
      <c r="L548" s="1"/>
      <c r="M548" s="576"/>
      <c r="N548" s="1"/>
      <c r="O548" s="1"/>
      <c r="P548" s="1"/>
      <c r="Q548" s="1"/>
      <c r="R548" s="1"/>
    </row>
    <row r="549" spans="2:18" x14ac:dyDescent="0.25">
      <c r="B549" s="1"/>
      <c r="C549" s="1"/>
      <c r="D549" s="1"/>
      <c r="E549" s="1"/>
      <c r="F549" s="1"/>
      <c r="G549" s="1"/>
      <c r="H549" s="576"/>
      <c r="I549" s="576"/>
      <c r="J549" s="1"/>
      <c r="K549" s="1"/>
      <c r="L549" s="1"/>
      <c r="M549" s="576"/>
      <c r="N549" s="1"/>
      <c r="O549" s="1"/>
      <c r="P549" s="1"/>
      <c r="Q549" s="1"/>
      <c r="R549" s="1"/>
    </row>
    <row r="550" spans="2:18" x14ac:dyDescent="0.25">
      <c r="B550" s="1"/>
      <c r="C550" s="1"/>
      <c r="D550" s="1"/>
      <c r="E550" s="1"/>
      <c r="F550" s="1"/>
      <c r="G550" s="1"/>
      <c r="H550" s="576"/>
      <c r="I550" s="576"/>
      <c r="J550" s="1"/>
      <c r="K550" s="1"/>
      <c r="L550" s="1"/>
      <c r="M550" s="576"/>
      <c r="N550" s="1"/>
      <c r="O550" s="1"/>
      <c r="P550" s="1"/>
      <c r="Q550" s="1"/>
      <c r="R550" s="1"/>
    </row>
    <row r="551" spans="2:18" x14ac:dyDescent="0.25">
      <c r="B551" s="1"/>
      <c r="C551" s="1"/>
      <c r="D551" s="1"/>
      <c r="E551" s="1"/>
      <c r="F551" s="1"/>
      <c r="G551" s="1"/>
      <c r="H551" s="576"/>
      <c r="I551" s="576"/>
      <c r="J551" s="1"/>
      <c r="K551" s="1"/>
      <c r="L551" s="1"/>
      <c r="M551" s="576"/>
      <c r="N551" s="1"/>
      <c r="O551" s="1"/>
      <c r="P551" s="1"/>
      <c r="Q551" s="1"/>
      <c r="R551" s="1"/>
    </row>
    <row r="552" spans="2:18" x14ac:dyDescent="0.25">
      <c r="B552" s="1"/>
      <c r="C552" s="1"/>
      <c r="D552" s="1"/>
      <c r="E552" s="1"/>
      <c r="F552" s="1"/>
      <c r="G552" s="1"/>
      <c r="H552" s="576"/>
      <c r="I552" s="576"/>
      <c r="J552" s="1"/>
      <c r="K552" s="1"/>
      <c r="L552" s="1"/>
      <c r="M552" s="576"/>
      <c r="N552" s="1"/>
      <c r="O552" s="1"/>
      <c r="P552" s="1"/>
      <c r="Q552" s="1"/>
      <c r="R552" s="1"/>
    </row>
    <row r="553" spans="2:18" x14ac:dyDescent="0.25">
      <c r="B553" s="1"/>
      <c r="C553" s="1"/>
      <c r="D553" s="1"/>
      <c r="E553" s="1"/>
      <c r="F553" s="1"/>
      <c r="G553" s="1"/>
      <c r="H553" s="576"/>
      <c r="I553" s="576"/>
      <c r="J553" s="1"/>
      <c r="K553" s="1"/>
      <c r="L553" s="1"/>
      <c r="M553" s="576"/>
      <c r="N553" s="1"/>
      <c r="O553" s="1"/>
      <c r="P553" s="1"/>
      <c r="Q553" s="1"/>
      <c r="R553" s="1"/>
    </row>
    <row r="554" spans="2:18" x14ac:dyDescent="0.25">
      <c r="B554" s="1"/>
      <c r="C554" s="1"/>
      <c r="D554" s="1"/>
      <c r="E554" s="1"/>
      <c r="F554" s="1"/>
      <c r="G554" s="1"/>
      <c r="H554" s="576"/>
      <c r="I554" s="576"/>
      <c r="J554" s="1"/>
      <c r="K554" s="1"/>
      <c r="L554" s="1"/>
      <c r="M554" s="576"/>
      <c r="N554" s="1"/>
      <c r="O554" s="1"/>
      <c r="P554" s="1"/>
      <c r="Q554" s="1"/>
      <c r="R554" s="1"/>
    </row>
    <row r="555" spans="2:18" x14ac:dyDescent="0.25">
      <c r="B555" s="1"/>
      <c r="C555" s="1"/>
      <c r="D555" s="1"/>
      <c r="E555" s="1"/>
      <c r="F555" s="1"/>
      <c r="G555" s="1"/>
      <c r="H555" s="576"/>
      <c r="I555" s="576"/>
      <c r="J555" s="1"/>
      <c r="K555" s="1"/>
      <c r="L555" s="1"/>
      <c r="M555" s="576"/>
      <c r="N555" s="1"/>
      <c r="O555" s="1"/>
      <c r="P555" s="1"/>
      <c r="Q555" s="1"/>
      <c r="R555" s="1"/>
    </row>
    <row r="556" spans="2:18" x14ac:dyDescent="0.25">
      <c r="B556" s="1"/>
      <c r="C556" s="1"/>
      <c r="D556" s="1"/>
      <c r="E556" s="1"/>
      <c r="F556" s="1"/>
      <c r="G556" s="1"/>
      <c r="H556" s="576"/>
      <c r="I556" s="576"/>
      <c r="J556" s="1"/>
      <c r="K556" s="1"/>
      <c r="L556" s="1"/>
      <c r="M556" s="576"/>
      <c r="N556" s="1"/>
      <c r="O556" s="1"/>
      <c r="P556" s="1"/>
      <c r="Q556" s="1"/>
      <c r="R556" s="1"/>
    </row>
    <row r="557" spans="2:18" x14ac:dyDescent="0.25">
      <c r="B557" s="1"/>
      <c r="C557" s="1"/>
      <c r="D557" s="1"/>
      <c r="E557" s="1"/>
      <c r="F557" s="1"/>
      <c r="G557" s="1"/>
      <c r="H557" s="576"/>
      <c r="I557" s="576"/>
      <c r="J557" s="1"/>
      <c r="K557" s="1"/>
      <c r="L557" s="1"/>
      <c r="M557" s="576"/>
      <c r="N557" s="1"/>
      <c r="O557" s="1"/>
      <c r="P557" s="1"/>
      <c r="Q557" s="1"/>
      <c r="R557" s="1"/>
    </row>
    <row r="558" spans="2:18" x14ac:dyDescent="0.25">
      <c r="B558" s="1"/>
      <c r="C558" s="1"/>
      <c r="D558" s="1"/>
      <c r="E558" s="1"/>
      <c r="F558" s="1"/>
      <c r="G558" s="1"/>
      <c r="H558" s="576"/>
      <c r="I558" s="576"/>
      <c r="J558" s="1"/>
      <c r="K558" s="1"/>
      <c r="L558" s="1"/>
      <c r="M558" s="576"/>
      <c r="N558" s="1"/>
      <c r="O558" s="1"/>
      <c r="P558" s="1"/>
      <c r="Q558" s="1"/>
      <c r="R558" s="1"/>
    </row>
    <row r="559" spans="2:18" x14ac:dyDescent="0.25">
      <c r="B559" s="1"/>
      <c r="C559" s="1"/>
      <c r="D559" s="1"/>
      <c r="E559" s="1"/>
      <c r="F559" s="1"/>
      <c r="G559" s="1"/>
      <c r="H559" s="576"/>
      <c r="I559" s="576"/>
      <c r="J559" s="1"/>
      <c r="K559" s="1"/>
      <c r="L559" s="1"/>
      <c r="M559" s="576"/>
      <c r="N559" s="1"/>
      <c r="O559" s="1"/>
      <c r="P559" s="1"/>
      <c r="Q559" s="1"/>
      <c r="R559" s="1"/>
    </row>
    <row r="560" spans="2:18" x14ac:dyDescent="0.25">
      <c r="B560" s="1"/>
      <c r="C560" s="1"/>
      <c r="D560" s="1"/>
      <c r="E560" s="1"/>
      <c r="F560" s="1"/>
      <c r="G560" s="1"/>
      <c r="H560" s="576"/>
      <c r="I560" s="576"/>
      <c r="J560" s="1"/>
      <c r="K560" s="1"/>
      <c r="L560" s="1"/>
      <c r="M560" s="576"/>
      <c r="N560" s="1"/>
      <c r="O560" s="1"/>
      <c r="P560" s="1"/>
      <c r="Q560" s="1"/>
      <c r="R560" s="1"/>
    </row>
    <row r="561" spans="2:18" x14ac:dyDescent="0.25">
      <c r="B561" s="1"/>
      <c r="C561" s="1"/>
      <c r="D561" s="1"/>
      <c r="E561" s="1"/>
      <c r="F561" s="1"/>
      <c r="G561" s="1"/>
      <c r="H561" s="576"/>
      <c r="I561" s="576"/>
      <c r="J561" s="1"/>
      <c r="K561" s="1"/>
      <c r="L561" s="1"/>
      <c r="M561" s="576"/>
      <c r="N561" s="1"/>
      <c r="O561" s="1"/>
      <c r="P561" s="1"/>
      <c r="Q561" s="1"/>
      <c r="R561" s="1"/>
    </row>
    <row r="562" spans="2:18" x14ac:dyDescent="0.25">
      <c r="B562" s="1"/>
      <c r="C562" s="1"/>
      <c r="D562" s="1"/>
      <c r="E562" s="1"/>
      <c r="F562" s="1"/>
      <c r="G562" s="1"/>
      <c r="H562" s="576"/>
      <c r="I562" s="576"/>
      <c r="J562" s="1"/>
      <c r="K562" s="1"/>
      <c r="L562" s="1"/>
      <c r="M562" s="576"/>
      <c r="N562" s="1"/>
      <c r="O562" s="1"/>
      <c r="P562" s="1"/>
      <c r="Q562" s="1"/>
      <c r="R562" s="1"/>
    </row>
    <row r="563" spans="2:18" x14ac:dyDescent="0.25">
      <c r="B563" s="1"/>
      <c r="C563" s="1"/>
      <c r="D563" s="1"/>
      <c r="E563" s="1"/>
      <c r="F563" s="1"/>
      <c r="G563" s="1"/>
      <c r="H563" s="576"/>
      <c r="I563" s="576"/>
      <c r="J563" s="1"/>
      <c r="K563" s="1"/>
      <c r="L563" s="1"/>
      <c r="M563" s="576"/>
      <c r="N563" s="1"/>
      <c r="O563" s="1"/>
      <c r="P563" s="1"/>
      <c r="Q563" s="1"/>
      <c r="R563" s="1"/>
    </row>
    <row r="564" spans="2:18" x14ac:dyDescent="0.25">
      <c r="B564" s="1"/>
      <c r="C564" s="1"/>
      <c r="D564" s="1"/>
      <c r="E564" s="1"/>
      <c r="F564" s="1"/>
      <c r="G564" s="1"/>
      <c r="H564" s="576"/>
      <c r="I564" s="576"/>
      <c r="J564" s="1"/>
      <c r="K564" s="1"/>
      <c r="L564" s="1"/>
      <c r="M564" s="576"/>
      <c r="N564" s="1"/>
      <c r="O564" s="1"/>
      <c r="P564" s="1"/>
      <c r="Q564" s="1"/>
      <c r="R564" s="1"/>
    </row>
    <row r="565" spans="2:18" x14ac:dyDescent="0.25">
      <c r="B565" s="1"/>
      <c r="C565" s="1"/>
      <c r="D565" s="1"/>
      <c r="E565" s="1"/>
      <c r="F565" s="1"/>
      <c r="G565" s="1"/>
      <c r="H565" s="576"/>
      <c r="I565" s="576"/>
      <c r="J565" s="1"/>
      <c r="K565" s="1"/>
      <c r="L565" s="1"/>
      <c r="M565" s="576"/>
      <c r="N565" s="1"/>
      <c r="O565" s="1"/>
      <c r="P565" s="1"/>
      <c r="Q565" s="1"/>
      <c r="R565" s="1"/>
    </row>
    <row r="566" spans="2:18" x14ac:dyDescent="0.25">
      <c r="B566" s="1"/>
      <c r="C566" s="1"/>
      <c r="D566" s="1"/>
      <c r="E566" s="1"/>
      <c r="F566" s="1"/>
      <c r="G566" s="1"/>
      <c r="H566" s="576"/>
      <c r="I566" s="576"/>
      <c r="J566" s="1"/>
      <c r="K566" s="1"/>
      <c r="L566" s="1"/>
      <c r="M566" s="576"/>
      <c r="N566" s="1"/>
      <c r="O566" s="1"/>
      <c r="P566" s="1"/>
      <c r="Q566" s="1"/>
      <c r="R566" s="1"/>
    </row>
    <row r="567" spans="2:18" x14ac:dyDescent="0.25">
      <c r="B567" s="1"/>
      <c r="C567" s="1"/>
      <c r="D567" s="1"/>
      <c r="E567" s="1"/>
      <c r="F567" s="1"/>
      <c r="G567" s="1"/>
      <c r="H567" s="576"/>
      <c r="I567" s="576"/>
      <c r="J567" s="1"/>
      <c r="K567" s="1"/>
      <c r="L567" s="1"/>
      <c r="M567" s="576"/>
      <c r="N567" s="1"/>
      <c r="O567" s="1"/>
      <c r="P567" s="1"/>
      <c r="Q567" s="1"/>
      <c r="R567" s="1"/>
    </row>
    <row r="568" spans="2:18" x14ac:dyDescent="0.25">
      <c r="B568" s="1"/>
      <c r="C568" s="1"/>
      <c r="D568" s="1"/>
      <c r="E568" s="1"/>
      <c r="F568" s="1"/>
      <c r="G568" s="1"/>
      <c r="H568" s="576"/>
      <c r="I568" s="576"/>
      <c r="J568" s="1"/>
      <c r="K568" s="1"/>
      <c r="L568" s="1"/>
      <c r="M568" s="576"/>
      <c r="N568" s="1"/>
      <c r="O568" s="1"/>
      <c r="P568" s="1"/>
      <c r="Q568" s="1"/>
      <c r="R568" s="1"/>
    </row>
    <row r="569" spans="2:18" x14ac:dyDescent="0.25">
      <c r="B569" s="1"/>
      <c r="C569" s="1"/>
      <c r="D569" s="1"/>
      <c r="E569" s="1"/>
      <c r="F569" s="1"/>
      <c r="G569" s="1"/>
      <c r="H569" s="576"/>
      <c r="I569" s="576"/>
      <c r="J569" s="1"/>
      <c r="K569" s="1"/>
      <c r="L569" s="1"/>
      <c r="M569" s="576"/>
      <c r="N569" s="1"/>
      <c r="O569" s="1"/>
      <c r="P569" s="1"/>
      <c r="Q569" s="1"/>
      <c r="R569" s="1"/>
    </row>
    <row r="570" spans="2:18" x14ac:dyDescent="0.25">
      <c r="B570" s="1"/>
      <c r="C570" s="1"/>
      <c r="D570" s="1"/>
      <c r="E570" s="1"/>
      <c r="F570" s="1"/>
      <c r="G570" s="1"/>
      <c r="H570" s="576"/>
      <c r="I570" s="576"/>
      <c r="J570" s="1"/>
      <c r="K570" s="1"/>
      <c r="L570" s="1"/>
      <c r="M570" s="576"/>
      <c r="N570" s="1"/>
      <c r="O570" s="1"/>
      <c r="P570" s="1"/>
      <c r="Q570" s="1"/>
      <c r="R570" s="1"/>
    </row>
    <row r="571" spans="2:18" x14ac:dyDescent="0.25">
      <c r="B571" s="1"/>
      <c r="C571" s="1"/>
      <c r="D571" s="1"/>
      <c r="E571" s="1"/>
      <c r="F571" s="1"/>
      <c r="G571" s="1"/>
      <c r="H571" s="576"/>
      <c r="I571" s="576"/>
      <c r="J571" s="1"/>
      <c r="K571" s="1"/>
      <c r="L571" s="1"/>
      <c r="M571" s="576"/>
      <c r="N571" s="1"/>
      <c r="O571" s="1"/>
      <c r="P571" s="1"/>
      <c r="Q571" s="1"/>
      <c r="R571" s="1"/>
    </row>
    <row r="572" spans="2:18" x14ac:dyDescent="0.25">
      <c r="B572" s="1"/>
      <c r="C572" s="1"/>
      <c r="D572" s="1"/>
      <c r="E572" s="1"/>
      <c r="F572" s="1"/>
      <c r="G572" s="1"/>
      <c r="H572" s="576"/>
      <c r="I572" s="576"/>
      <c r="J572" s="1"/>
      <c r="K572" s="1"/>
      <c r="L572" s="1"/>
      <c r="M572" s="576"/>
      <c r="N572" s="1"/>
      <c r="O572" s="1"/>
      <c r="P572" s="1"/>
      <c r="Q572" s="1"/>
      <c r="R572" s="1"/>
    </row>
    <row r="573" spans="2:18" x14ac:dyDescent="0.25">
      <c r="B573" s="1"/>
      <c r="C573" s="1"/>
      <c r="D573" s="1"/>
      <c r="E573" s="1"/>
      <c r="F573" s="1"/>
      <c r="G573" s="1"/>
      <c r="H573" s="576"/>
      <c r="I573" s="576"/>
      <c r="J573" s="1"/>
      <c r="K573" s="1"/>
      <c r="L573" s="1"/>
      <c r="M573" s="576"/>
      <c r="N573" s="1"/>
      <c r="O573" s="1"/>
      <c r="P573" s="1"/>
      <c r="Q573" s="1"/>
      <c r="R573" s="1"/>
    </row>
    <row r="574" spans="2:18" x14ac:dyDescent="0.25">
      <c r="B574" s="1"/>
      <c r="C574" s="1"/>
      <c r="D574" s="1"/>
      <c r="E574" s="1"/>
      <c r="F574" s="1"/>
      <c r="G574" s="1"/>
      <c r="H574" s="576"/>
      <c r="I574" s="576"/>
      <c r="J574" s="1"/>
      <c r="K574" s="1"/>
      <c r="L574" s="1"/>
      <c r="M574" s="576"/>
      <c r="N574" s="1"/>
      <c r="O574" s="1"/>
      <c r="P574" s="1"/>
      <c r="Q574" s="1"/>
      <c r="R574" s="1"/>
    </row>
    <row r="575" spans="2:18" x14ac:dyDescent="0.25">
      <c r="B575" s="1"/>
      <c r="C575" s="1"/>
      <c r="D575" s="1"/>
      <c r="E575" s="1"/>
      <c r="F575" s="1"/>
      <c r="G575" s="1"/>
      <c r="H575" s="576"/>
      <c r="I575" s="576"/>
      <c r="J575" s="1"/>
      <c r="K575" s="1"/>
      <c r="L575" s="1"/>
      <c r="M575" s="576"/>
      <c r="N575" s="1"/>
      <c r="O575" s="1"/>
      <c r="P575" s="1"/>
      <c r="Q575" s="1"/>
      <c r="R575" s="1"/>
    </row>
    <row r="576" spans="2:18" x14ac:dyDescent="0.25">
      <c r="B576" s="1"/>
      <c r="C576" s="1"/>
      <c r="D576" s="1"/>
      <c r="E576" s="1"/>
      <c r="F576" s="1"/>
      <c r="G576" s="1"/>
      <c r="H576" s="576"/>
      <c r="I576" s="576"/>
      <c r="J576" s="1"/>
      <c r="K576" s="1"/>
      <c r="L576" s="1"/>
      <c r="M576" s="576"/>
      <c r="N576" s="1"/>
      <c r="O576" s="1"/>
      <c r="P576" s="1"/>
      <c r="Q576" s="1"/>
      <c r="R576" s="1"/>
    </row>
    <row r="577" spans="2:18" x14ac:dyDescent="0.25">
      <c r="B577" s="1"/>
      <c r="C577" s="1"/>
      <c r="D577" s="1"/>
      <c r="E577" s="1"/>
      <c r="F577" s="1"/>
      <c r="G577" s="1"/>
      <c r="H577" s="576"/>
      <c r="I577" s="576"/>
      <c r="J577" s="1"/>
      <c r="K577" s="1"/>
      <c r="L577" s="1"/>
      <c r="M577" s="576"/>
      <c r="N577" s="1"/>
      <c r="O577" s="1"/>
      <c r="P577" s="1"/>
      <c r="Q577" s="1"/>
      <c r="R577" s="1"/>
    </row>
    <row r="578" spans="2:18" x14ac:dyDescent="0.25">
      <c r="B578" s="1"/>
      <c r="C578" s="1"/>
      <c r="D578" s="1"/>
      <c r="E578" s="1"/>
      <c r="F578" s="1"/>
      <c r="G578" s="1"/>
      <c r="H578" s="576"/>
      <c r="I578" s="576"/>
      <c r="J578" s="1"/>
      <c r="K578" s="1"/>
      <c r="L578" s="1"/>
      <c r="M578" s="576"/>
      <c r="N578" s="1"/>
      <c r="O578" s="1"/>
      <c r="P578" s="1"/>
      <c r="Q578" s="1"/>
      <c r="R578" s="1"/>
    </row>
    <row r="579" spans="2:18" x14ac:dyDescent="0.25">
      <c r="B579" s="1"/>
      <c r="C579" s="1"/>
      <c r="D579" s="1"/>
      <c r="E579" s="1"/>
      <c r="F579" s="1"/>
      <c r="G579" s="1"/>
      <c r="H579" s="576"/>
      <c r="I579" s="576"/>
      <c r="J579" s="1"/>
      <c r="K579" s="1"/>
      <c r="L579" s="1"/>
      <c r="M579" s="576"/>
      <c r="N579" s="1"/>
      <c r="O579" s="1"/>
      <c r="P579" s="1"/>
      <c r="Q579" s="1"/>
      <c r="R579" s="1"/>
    </row>
    <row r="580" spans="2:18" x14ac:dyDescent="0.25">
      <c r="B580" s="1"/>
      <c r="C580" s="1"/>
      <c r="D580" s="1"/>
      <c r="E580" s="1"/>
      <c r="F580" s="1"/>
      <c r="G580" s="1"/>
      <c r="H580" s="576"/>
      <c r="I580" s="576"/>
      <c r="J580" s="1"/>
      <c r="K580" s="1"/>
      <c r="L580" s="1"/>
      <c r="M580" s="576"/>
      <c r="N580" s="1"/>
      <c r="O580" s="1"/>
      <c r="P580" s="1"/>
      <c r="Q580" s="1"/>
      <c r="R580" s="1"/>
    </row>
    <row r="581" spans="2:18" x14ac:dyDescent="0.25">
      <c r="B581" s="1"/>
      <c r="C581" s="1"/>
      <c r="D581" s="1"/>
      <c r="E581" s="1"/>
      <c r="F581" s="1"/>
      <c r="G581" s="1"/>
      <c r="H581" s="576"/>
      <c r="I581" s="576"/>
      <c r="J581" s="1"/>
      <c r="K581" s="1"/>
      <c r="L581" s="1"/>
      <c r="M581" s="576"/>
      <c r="N581" s="1"/>
      <c r="O581" s="1"/>
      <c r="P581" s="1"/>
      <c r="Q581" s="1"/>
      <c r="R581" s="1"/>
    </row>
    <row r="582" spans="2:18" x14ac:dyDescent="0.25">
      <c r="B582" s="1"/>
      <c r="C582" s="1"/>
      <c r="D582" s="1"/>
      <c r="E582" s="1"/>
      <c r="F582" s="1"/>
      <c r="G582" s="1"/>
      <c r="H582" s="576"/>
      <c r="I582" s="576"/>
      <c r="J582" s="1"/>
      <c r="K582" s="1"/>
      <c r="L582" s="1"/>
      <c r="M582" s="576"/>
      <c r="N582" s="1"/>
      <c r="O582" s="1"/>
      <c r="P582" s="1"/>
      <c r="Q582" s="1"/>
      <c r="R582" s="1"/>
    </row>
    <row r="583" spans="2:18" x14ac:dyDescent="0.25">
      <c r="B583" s="1"/>
      <c r="C583" s="1"/>
      <c r="D583" s="1"/>
      <c r="E583" s="1"/>
      <c r="F583" s="1"/>
      <c r="G583" s="1"/>
      <c r="H583" s="576"/>
      <c r="I583" s="576"/>
      <c r="J583" s="1"/>
      <c r="K583" s="1"/>
      <c r="L583" s="1"/>
      <c r="M583" s="576"/>
      <c r="N583" s="1"/>
      <c r="O583" s="1"/>
      <c r="P583" s="1"/>
      <c r="Q583" s="1"/>
      <c r="R583" s="1"/>
    </row>
    <row r="584" spans="2:18" x14ac:dyDescent="0.25">
      <c r="B584" s="1"/>
      <c r="C584" s="1"/>
      <c r="D584" s="1"/>
      <c r="E584" s="1"/>
      <c r="F584" s="1"/>
      <c r="G584" s="1"/>
      <c r="H584" s="576"/>
      <c r="I584" s="576"/>
      <c r="J584" s="1"/>
      <c r="K584" s="1"/>
      <c r="L584" s="1"/>
      <c r="M584" s="576"/>
      <c r="N584" s="1"/>
      <c r="O584" s="1"/>
      <c r="P584" s="1"/>
      <c r="Q584" s="1"/>
      <c r="R584" s="1"/>
    </row>
    <row r="585" spans="2:18" x14ac:dyDescent="0.25">
      <c r="B585" s="1"/>
      <c r="C585" s="1"/>
      <c r="D585" s="1"/>
      <c r="E585" s="1"/>
      <c r="F585" s="1"/>
      <c r="G585" s="1"/>
      <c r="H585" s="576"/>
      <c r="I585" s="576"/>
      <c r="J585" s="1"/>
      <c r="K585" s="1"/>
      <c r="L585" s="1"/>
      <c r="M585" s="576"/>
      <c r="N585" s="1"/>
      <c r="O585" s="1"/>
      <c r="P585" s="1"/>
      <c r="Q585" s="1"/>
      <c r="R585" s="1"/>
    </row>
    <row r="586" spans="2:18" x14ac:dyDescent="0.25">
      <c r="B586" s="1"/>
      <c r="C586" s="1"/>
      <c r="D586" s="1"/>
      <c r="E586" s="1"/>
      <c r="F586" s="1"/>
      <c r="G586" s="1"/>
      <c r="H586" s="576"/>
      <c r="I586" s="576"/>
      <c r="J586" s="1"/>
      <c r="K586" s="1"/>
      <c r="L586" s="1"/>
      <c r="M586" s="576"/>
      <c r="N586" s="1"/>
      <c r="O586" s="1"/>
      <c r="P586" s="1"/>
      <c r="Q586" s="1"/>
      <c r="R586" s="1"/>
    </row>
    <row r="587" spans="2:18" x14ac:dyDescent="0.25">
      <c r="B587" s="1"/>
      <c r="C587" s="1"/>
      <c r="D587" s="1"/>
      <c r="E587" s="1"/>
      <c r="F587" s="1"/>
      <c r="G587" s="1"/>
      <c r="H587" s="576"/>
      <c r="I587" s="576"/>
      <c r="J587" s="1"/>
      <c r="K587" s="1"/>
      <c r="L587" s="1"/>
      <c r="M587" s="576"/>
      <c r="N587" s="1"/>
      <c r="O587" s="1"/>
      <c r="P587" s="1"/>
      <c r="Q587" s="1"/>
      <c r="R587" s="1"/>
    </row>
  </sheetData>
  <sheetProtection algorithmName="SHA-512" hashValue="h6CL8HihLjjc4OUldpS3h8LvyO60CVcjbFi+j3rqXqrXee4ibkzMBrhCN4zeIZxg8X6v/y39QnY/vi2NJdLWFw==" saltValue="plkbx4+not+woiLr0Gamxg==" spinCount="100000" sheet="1" objects="1" scenarios="1"/>
  <mergeCells count="260">
    <mergeCell ref="K510:L510"/>
    <mergeCell ref="K511:L511"/>
    <mergeCell ref="D509:L509"/>
    <mergeCell ref="C481:N482"/>
    <mergeCell ref="C523:N524"/>
    <mergeCell ref="M281:P287"/>
    <mergeCell ref="C418:N419"/>
    <mergeCell ref="M372:O372"/>
    <mergeCell ref="J423:M429"/>
    <mergeCell ref="C438:N439"/>
    <mergeCell ref="K468:L468"/>
    <mergeCell ref="K469:L469"/>
    <mergeCell ref="D467:L467"/>
    <mergeCell ref="E468:F469"/>
    <mergeCell ref="H468:I469"/>
    <mergeCell ref="D406:E406"/>
    <mergeCell ref="D402:E402"/>
    <mergeCell ref="D407:E407"/>
    <mergeCell ref="D412:E412"/>
    <mergeCell ref="D413:E413"/>
    <mergeCell ref="D400:L400"/>
    <mergeCell ref="D405:L405"/>
    <mergeCell ref="D411:L411"/>
    <mergeCell ref="D332:K332"/>
    <mergeCell ref="C346:N347"/>
    <mergeCell ref="D383:K383"/>
    <mergeCell ref="E384:G384"/>
    <mergeCell ref="I384:K384"/>
    <mergeCell ref="C397:N398"/>
    <mergeCell ref="E429:F429"/>
    <mergeCell ref="E430:F430"/>
    <mergeCell ref="G422:H422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C97:T98"/>
    <mergeCell ref="C120:T121"/>
    <mergeCell ref="C154:T155"/>
    <mergeCell ref="B172:U173"/>
    <mergeCell ref="B193:U194"/>
    <mergeCell ref="B253:U254"/>
    <mergeCell ref="B292:U293"/>
    <mergeCell ref="B435:U436"/>
    <mergeCell ref="C222:D223"/>
    <mergeCell ref="C226:D227"/>
    <mergeCell ref="B206:U207"/>
    <mergeCell ref="C231:N232"/>
    <mergeCell ref="C256:N257"/>
    <mergeCell ref="C267:N268"/>
    <mergeCell ref="C278:N279"/>
    <mergeCell ref="E286:F286"/>
    <mergeCell ref="G286:H286"/>
    <mergeCell ref="D286:D287"/>
    <mergeCell ref="I5:I7"/>
    <mergeCell ref="O12:Q12"/>
    <mergeCell ref="B23:U24"/>
    <mergeCell ref="C26:T27"/>
    <mergeCell ref="H53:I53"/>
    <mergeCell ref="C62:T63"/>
    <mergeCell ref="P144:P149"/>
    <mergeCell ref="E443:F443"/>
    <mergeCell ref="D455:D457"/>
    <mergeCell ref="E455:F455"/>
    <mergeCell ref="H455:I456"/>
    <mergeCell ref="E456:F456"/>
    <mergeCell ref="I320:K320"/>
    <mergeCell ref="C108:F108"/>
    <mergeCell ref="F101:H101"/>
    <mergeCell ref="C101:E101"/>
    <mergeCell ref="I101:J101"/>
    <mergeCell ref="C176:K176"/>
    <mergeCell ref="C197:H197"/>
    <mergeCell ref="D384:D386"/>
    <mergeCell ref="D141:P141"/>
    <mergeCell ref="D123:F123"/>
    <mergeCell ref="G123:I123"/>
    <mergeCell ref="D130:P130"/>
    <mergeCell ref="D131:D132"/>
    <mergeCell ref="I371:K371"/>
    <mergeCell ref="D370:K370"/>
    <mergeCell ref="D319:K319"/>
    <mergeCell ref="F406:G406"/>
    <mergeCell ref="H406:I406"/>
    <mergeCell ref="F407:G407"/>
    <mergeCell ref="H407:I407"/>
    <mergeCell ref="F412:G412"/>
    <mergeCell ref="H412:I412"/>
    <mergeCell ref="F413:G413"/>
    <mergeCell ref="F408:G408"/>
    <mergeCell ref="E320:G320"/>
    <mergeCell ref="H413:I413"/>
    <mergeCell ref="H408:I408"/>
    <mergeCell ref="F414:G414"/>
    <mergeCell ref="H414:I414"/>
    <mergeCell ref="D358:D360"/>
    <mergeCell ref="E358:E360"/>
    <mergeCell ref="F401:G401"/>
    <mergeCell ref="H401:I401"/>
    <mergeCell ref="D526:D528"/>
    <mergeCell ref="E526:F526"/>
    <mergeCell ref="K526:L526"/>
    <mergeCell ref="N526:O526"/>
    <mergeCell ref="E527:F527"/>
    <mergeCell ref="K527:L527"/>
    <mergeCell ref="N527:O527"/>
    <mergeCell ref="H526:I527"/>
    <mergeCell ref="D510:D512"/>
    <mergeCell ref="D497:D499"/>
    <mergeCell ref="E497:F497"/>
    <mergeCell ref="D496:I496"/>
    <mergeCell ref="H497:I498"/>
    <mergeCell ref="E498:F498"/>
    <mergeCell ref="D468:D470"/>
    <mergeCell ref="D485:D487"/>
    <mergeCell ref="E485:F485"/>
    <mergeCell ref="E486:F486"/>
    <mergeCell ref="D441:I441"/>
    <mergeCell ref="D484:I484"/>
    <mergeCell ref="H485:I486"/>
    <mergeCell ref="D454:I454"/>
    <mergeCell ref="E442:F442"/>
    <mergeCell ref="H442:I443"/>
    <mergeCell ref="D442:D444"/>
    <mergeCell ref="C211:D211"/>
    <mergeCell ref="C186:D186"/>
    <mergeCell ref="E186:F186"/>
    <mergeCell ref="E271:F271"/>
    <mergeCell ref="G271:H271"/>
    <mergeCell ref="E282:F282"/>
    <mergeCell ref="C210:J210"/>
    <mergeCell ref="C295:N296"/>
    <mergeCell ref="P87:P92"/>
    <mergeCell ref="P133:P138"/>
    <mergeCell ref="D72:P72"/>
    <mergeCell ref="D65:F65"/>
    <mergeCell ref="G65:I65"/>
    <mergeCell ref="C29:G29"/>
    <mergeCell ref="C30:C31"/>
    <mergeCell ref="D30:D31"/>
    <mergeCell ref="E30:E31"/>
    <mergeCell ref="G30:G31"/>
    <mergeCell ref="C56:H56"/>
    <mergeCell ref="C44:C45"/>
    <mergeCell ref="D44:D45"/>
    <mergeCell ref="E44:E45"/>
    <mergeCell ref="F44:F45"/>
    <mergeCell ref="G44:G45"/>
    <mergeCell ref="H44:I44"/>
    <mergeCell ref="H45:I45"/>
    <mergeCell ref="C43:I43"/>
    <mergeCell ref="C12:E12"/>
    <mergeCell ref="C13:E13"/>
    <mergeCell ref="C14:E14"/>
    <mergeCell ref="C18:E18"/>
    <mergeCell ref="C15:E16"/>
    <mergeCell ref="B2:U2"/>
    <mergeCell ref="C8:E8"/>
    <mergeCell ref="C9:E9"/>
    <mergeCell ref="D157:I157"/>
    <mergeCell ref="S5:T5"/>
    <mergeCell ref="C7:E7"/>
    <mergeCell ref="C5:G5"/>
    <mergeCell ref="J5:L5"/>
    <mergeCell ref="O5:Q5"/>
    <mergeCell ref="C6:E6"/>
    <mergeCell ref="C10:E10"/>
    <mergeCell ref="C17:E17"/>
    <mergeCell ref="G282:H282"/>
    <mergeCell ref="J234:Q234"/>
    <mergeCell ref="C234:H234"/>
    <mergeCell ref="C235:E235"/>
    <mergeCell ref="F235:H235"/>
    <mergeCell ref="D281:K281"/>
    <mergeCell ref="C212:D212"/>
    <mergeCell ref="C213:D214"/>
    <mergeCell ref="C215:D217"/>
    <mergeCell ref="C236:E236"/>
    <mergeCell ref="F236:H236"/>
    <mergeCell ref="C218:D219"/>
    <mergeCell ref="J235:M235"/>
    <mergeCell ref="N235:Q235"/>
    <mergeCell ref="K259:O259"/>
    <mergeCell ref="D259:I259"/>
    <mergeCell ref="D270:K270"/>
    <mergeCell ref="F358:F360"/>
    <mergeCell ref="E371:G371"/>
    <mergeCell ref="D349:K349"/>
    <mergeCell ref="D357:Q357"/>
    <mergeCell ref="G358:K358"/>
    <mergeCell ref="M358:Q358"/>
    <mergeCell ref="D371:D373"/>
    <mergeCell ref="D333:D335"/>
    <mergeCell ref="E350:F350"/>
    <mergeCell ref="G350:H350"/>
    <mergeCell ref="E333:G333"/>
    <mergeCell ref="I333:K333"/>
    <mergeCell ref="E299:F299"/>
    <mergeCell ref="G299:H299"/>
    <mergeCell ref="D298:K298"/>
    <mergeCell ref="D306:Q306"/>
    <mergeCell ref="D307:D309"/>
    <mergeCell ref="E307:E309"/>
    <mergeCell ref="F307:F309"/>
    <mergeCell ref="M307:Q307"/>
    <mergeCell ref="G307:K307"/>
    <mergeCell ref="D320:D322"/>
    <mergeCell ref="D421:H421"/>
    <mergeCell ref="E422:F422"/>
    <mergeCell ref="E423:F423"/>
    <mergeCell ref="E424:F424"/>
    <mergeCell ref="E425:F425"/>
    <mergeCell ref="E426:F426"/>
    <mergeCell ref="E427:F427"/>
    <mergeCell ref="E428:F428"/>
    <mergeCell ref="D73:D74"/>
    <mergeCell ref="I73:I74"/>
    <mergeCell ref="J73:J74"/>
    <mergeCell ref="O73:O74"/>
    <mergeCell ref="L73:L74"/>
    <mergeCell ref="G73:G74"/>
    <mergeCell ref="M73:M74"/>
    <mergeCell ref="D85:D86"/>
    <mergeCell ref="G85:G86"/>
    <mergeCell ref="I85:I86"/>
    <mergeCell ref="J85:J86"/>
    <mergeCell ref="L85:L86"/>
    <mergeCell ref="M85:M86"/>
    <mergeCell ref="O85:O86"/>
    <mergeCell ref="D84:P84"/>
    <mergeCell ref="P75:P80"/>
    <mergeCell ref="C100:K100"/>
    <mergeCell ref="C109:C110"/>
    <mergeCell ref="E109:E110"/>
    <mergeCell ref="G131:G132"/>
    <mergeCell ref="I131:I132"/>
    <mergeCell ref="J131:J132"/>
    <mergeCell ref="L131:L132"/>
    <mergeCell ref="M131:M132"/>
    <mergeCell ref="O131:O132"/>
    <mergeCell ref="I102:J102"/>
    <mergeCell ref="I103:J103"/>
    <mergeCell ref="I104:J104"/>
    <mergeCell ref="I105:J105"/>
    <mergeCell ref="D142:D143"/>
    <mergeCell ref="G142:G143"/>
    <mergeCell ref="I142:I143"/>
    <mergeCell ref="J142:J143"/>
    <mergeCell ref="L142:L143"/>
    <mergeCell ref="M142:M143"/>
    <mergeCell ref="O142:O143"/>
    <mergeCell ref="D158:D159"/>
    <mergeCell ref="E158:E159"/>
    <mergeCell ref="F158:F159"/>
    <mergeCell ref="E510:F511"/>
    <mergeCell ref="H510:I511"/>
  </mergeCells>
  <pageMargins left="0.7" right="0.7" top="0.75" bottom="0.75" header="0.3" footer="0.3"/>
  <pageSetup orientation="portrait" r:id="rId1"/>
  <ignoredErrors>
    <ignoredError sqref="F160:F166 G323:G329 G374:G379 I310:I316 O310:O316" formula="1"/>
    <ignoredError sqref="F31 H57:H59 J69 H45 E74:F74 H74 K73:P73 K74:L74 N74:P74 E86:P86 K102:K105 D109:F110 J127 E132:P132 G131:J131 F85:P85 L131:N131 E142:P143 G159:I159 K177:K178 H200:H201 J213:J219 I263 K272:K273 K300:K303 K351:K354 G309 I309 K309:Q309 G360:Q360 G361:H367 J361:N367 P361:P367 G322:H322 K322 G373:K373 I335:K335 E335:G335 K469 K511 P261 K283:K285 E386:K386 D411:L413 D402:L402 D405:L408" numberStoredAsText="1"/>
    <ignoredError sqref="I361:I367 O361:O367" numberStoredAsText="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61"/>
  <sheetViews>
    <sheetView tabSelected="1" zoomScale="75" zoomScaleNormal="75" workbookViewId="0">
      <selection activeCell="H34" sqref="H34"/>
    </sheetView>
  </sheetViews>
  <sheetFormatPr defaultColWidth="11.42578125" defaultRowHeight="15" x14ac:dyDescent="0.25"/>
  <cols>
    <col min="1" max="1" width="9.28515625" style="13" customWidth="1"/>
    <col min="2" max="2" width="8.5703125" style="13" customWidth="1"/>
    <col min="3" max="3" width="7.85546875" style="13" customWidth="1"/>
    <col min="4" max="4" width="5.5703125" style="13" customWidth="1"/>
    <col min="5" max="5" width="17.140625" style="13" customWidth="1"/>
    <col min="6" max="6" width="7.28515625" style="13" customWidth="1"/>
    <col min="7" max="7" width="13.42578125" style="13" customWidth="1"/>
    <col min="8" max="10" width="11.42578125" style="13"/>
    <col min="11" max="11" width="12.140625" style="13" bestFit="1" customWidth="1"/>
    <col min="12" max="12" width="11.42578125" style="13"/>
    <col min="13" max="13" width="9.5703125" style="13" customWidth="1"/>
    <col min="14" max="14" width="9.28515625" style="13" customWidth="1"/>
    <col min="15" max="15" width="12.85546875" style="13" customWidth="1"/>
    <col min="16" max="16" width="11.7109375" style="13" customWidth="1"/>
    <col min="17" max="17" width="10.85546875" style="13" customWidth="1"/>
    <col min="18" max="18" width="11.42578125" style="13"/>
    <col min="19" max="19" width="13.5703125" style="1" customWidth="1"/>
    <col min="20" max="20" width="14.42578125" style="1" customWidth="1"/>
    <col min="21" max="23" width="11.42578125" style="12"/>
    <col min="24" max="24" width="13.85546875" style="12" bestFit="1" customWidth="1"/>
    <col min="25" max="29" width="11.42578125" style="1"/>
    <col min="30" max="16384" width="11.42578125" style="13"/>
  </cols>
  <sheetData>
    <row r="1" spans="1:44" ht="15.75" thickBot="1" x14ac:dyDescent="0.3">
      <c r="A1" s="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9"/>
      <c r="V1" s="39"/>
      <c r="W1" s="41"/>
      <c r="X1" s="41"/>
      <c r="Y1" s="39"/>
      <c r="Z1" s="39"/>
      <c r="AA1" s="39"/>
      <c r="AB1" s="39"/>
      <c r="AC1" s="39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44" ht="15" customHeight="1" x14ac:dyDescent="0.25">
      <c r="A2" s="1"/>
      <c r="B2" s="303" t="s">
        <v>72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9"/>
      <c r="V2" s="39"/>
      <c r="W2" s="41"/>
      <c r="X2" s="41"/>
      <c r="Y2" s="39"/>
      <c r="Z2" s="39"/>
      <c r="AA2" s="39"/>
      <c r="AB2" s="39"/>
      <c r="AC2" s="39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44" ht="15" customHeight="1" thickBot="1" x14ac:dyDescent="0.3">
      <c r="A3" s="1"/>
      <c r="B3" s="305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9"/>
      <c r="V3" s="39"/>
      <c r="W3" s="41"/>
      <c r="X3" s="41"/>
      <c r="Y3" s="39"/>
      <c r="Z3" s="39"/>
      <c r="AA3" s="39"/>
      <c r="AB3" s="39"/>
      <c r="AC3" s="39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15" customHeight="1" thickBot="1" x14ac:dyDescent="0.3">
      <c r="A4" s="1"/>
      <c r="B4" s="127"/>
      <c r="C4" s="127"/>
      <c r="D4" s="127"/>
      <c r="E4" s="127"/>
      <c r="F4" s="1"/>
      <c r="G4" s="1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U4" s="39"/>
      <c r="V4" s="39"/>
      <c r="W4" s="41"/>
      <c r="X4" s="41"/>
      <c r="Y4" s="39"/>
      <c r="Z4" s="39"/>
      <c r="AA4" s="39"/>
      <c r="AB4" s="39"/>
      <c r="AC4" s="39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1:44" ht="15.75" customHeight="1" x14ac:dyDescent="0.25">
      <c r="A5" s="1"/>
      <c r="B5" s="907" t="s">
        <v>161</v>
      </c>
      <c r="C5" s="907"/>
      <c r="D5" s="907"/>
      <c r="E5" s="907"/>
      <c r="F5" s="907"/>
      <c r="G5" s="1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39"/>
      <c r="U5" s="39"/>
      <c r="V5" s="39"/>
      <c r="W5" s="39"/>
      <c r="X5" s="39"/>
      <c r="Y5" s="39"/>
      <c r="Z5" s="39"/>
      <c r="AA5" s="39"/>
      <c r="AB5" s="39"/>
      <c r="AC5" s="39"/>
      <c r="AD5" s="40"/>
      <c r="AE5" s="40"/>
      <c r="AF5" s="40"/>
      <c r="AG5" s="40"/>
      <c r="AH5" s="40"/>
    </row>
    <row r="6" spans="1:44" ht="15.75" customHeight="1" x14ac:dyDescent="0.25">
      <c r="A6" s="1"/>
      <c r="B6" s="182" t="s">
        <v>222</v>
      </c>
      <c r="C6" s="948">
        <v>1.5</v>
      </c>
      <c r="D6" s="143" t="s">
        <v>52</v>
      </c>
      <c r="E6" s="908"/>
      <c r="F6" s="128"/>
      <c r="G6" s="1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11"/>
      <c r="T6" s="39"/>
      <c r="U6" s="39"/>
      <c r="V6" s="39"/>
      <c r="W6" s="39"/>
      <c r="X6" s="39"/>
      <c r="Y6" s="39"/>
      <c r="Z6" s="39"/>
      <c r="AA6" s="39"/>
      <c r="AB6" s="39"/>
      <c r="AC6" s="39"/>
      <c r="AD6" s="40"/>
      <c r="AE6" s="40"/>
      <c r="AF6" s="40"/>
      <c r="AG6" s="40"/>
      <c r="AH6" s="40"/>
    </row>
    <row r="7" spans="1:44" ht="15.75" customHeight="1" x14ac:dyDescent="0.25">
      <c r="A7" s="1"/>
      <c r="B7" s="182" t="s">
        <v>223</v>
      </c>
      <c r="C7" s="948">
        <v>0.6</v>
      </c>
      <c r="D7" s="143" t="s">
        <v>52</v>
      </c>
      <c r="E7" s="908"/>
      <c r="F7" s="128"/>
      <c r="G7" s="1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11"/>
      <c r="T7" s="39"/>
      <c r="U7" s="39"/>
      <c r="V7" s="39"/>
      <c r="W7" s="39"/>
      <c r="X7" s="39"/>
      <c r="Y7" s="39"/>
      <c r="Z7" s="39"/>
      <c r="AA7" s="39"/>
      <c r="AB7" s="39"/>
      <c r="AC7" s="39"/>
      <c r="AD7" s="40"/>
      <c r="AE7" s="40"/>
      <c r="AF7" s="40"/>
      <c r="AG7" s="40"/>
      <c r="AH7" s="40"/>
    </row>
    <row r="8" spans="1:44" ht="15.75" customHeight="1" x14ac:dyDescent="0.25">
      <c r="A8" s="1"/>
      <c r="B8" s="182" t="s">
        <v>159</v>
      </c>
      <c r="C8" s="949">
        <v>1</v>
      </c>
      <c r="D8" s="143"/>
      <c r="E8" s="186" t="s">
        <v>213</v>
      </c>
      <c r="F8" s="183"/>
      <c r="G8" s="1"/>
      <c r="H8" s="10"/>
      <c r="I8" s="3"/>
      <c r="J8" s="3"/>
      <c r="K8" s="3"/>
      <c r="L8" s="3"/>
      <c r="M8" s="3"/>
      <c r="N8" s="3"/>
      <c r="O8" s="3"/>
      <c r="P8" s="3"/>
      <c r="Q8" s="3"/>
      <c r="R8" s="3"/>
      <c r="S8" s="11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  <c r="AE8" s="40"/>
      <c r="AF8" s="40"/>
      <c r="AG8" s="40"/>
      <c r="AH8" s="40"/>
    </row>
    <row r="9" spans="1:44" ht="15.75" customHeight="1" x14ac:dyDescent="0.25">
      <c r="A9" s="1"/>
      <c r="B9" s="182" t="s">
        <v>160</v>
      </c>
      <c r="C9" s="949">
        <v>1.5</v>
      </c>
      <c r="D9" s="143"/>
      <c r="E9" s="186" t="s">
        <v>214</v>
      </c>
      <c r="F9" s="183"/>
      <c r="G9" s="1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11"/>
      <c r="T9" s="39"/>
      <c r="U9" s="39"/>
      <c r="V9" s="39"/>
      <c r="W9" s="39"/>
      <c r="X9" s="39"/>
      <c r="Y9" s="39"/>
      <c r="Z9" s="39"/>
      <c r="AA9" s="39"/>
      <c r="AB9" s="39"/>
      <c r="AC9" s="39"/>
      <c r="AD9" s="40"/>
      <c r="AE9" s="40"/>
      <c r="AF9" s="40"/>
      <c r="AG9" s="40"/>
      <c r="AH9" s="40"/>
      <c r="AI9" s="40"/>
      <c r="AJ9" s="40"/>
      <c r="AK9" s="40"/>
      <c r="AL9" s="40"/>
    </row>
    <row r="10" spans="1:44" ht="15.75" customHeight="1" x14ac:dyDescent="0.25">
      <c r="A10" s="1"/>
      <c r="B10" s="182" t="s">
        <v>224</v>
      </c>
      <c r="C10" s="909">
        <f>C6*C8</f>
        <v>1.5</v>
      </c>
      <c r="D10" s="143" t="s">
        <v>52</v>
      </c>
      <c r="E10" s="186" t="s">
        <v>215</v>
      </c>
      <c r="F10" s="184" t="s">
        <v>210</v>
      </c>
      <c r="G10" s="1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11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44" ht="15.75" customHeight="1" x14ac:dyDescent="0.25">
      <c r="A11" s="1"/>
      <c r="B11" s="189" t="s">
        <v>225</v>
      </c>
      <c r="C11" s="910">
        <f>C7*C9</f>
        <v>0.89999999999999991</v>
      </c>
      <c r="D11" s="157" t="s">
        <v>52</v>
      </c>
      <c r="E11" s="187" t="s">
        <v>216</v>
      </c>
      <c r="F11" s="185" t="s">
        <v>209</v>
      </c>
      <c r="G11" s="1"/>
      <c r="H11" s="10"/>
      <c r="I11" s="3"/>
      <c r="J11" s="3"/>
      <c r="K11" s="3"/>
      <c r="L11" s="3"/>
      <c r="M11" s="3"/>
      <c r="N11" s="3"/>
      <c r="O11" s="3"/>
      <c r="P11" s="3"/>
      <c r="Q11" s="3"/>
      <c r="R11" s="3"/>
      <c r="S11" s="11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44" ht="15.75" customHeight="1" x14ac:dyDescent="0.25">
      <c r="A12" s="1"/>
      <c r="B12" s="190" t="s">
        <v>226</v>
      </c>
      <c r="C12" s="911">
        <f>2/3*C10</f>
        <v>1</v>
      </c>
      <c r="D12" s="912" t="s">
        <v>52</v>
      </c>
      <c r="E12" s="777" t="s">
        <v>217</v>
      </c>
      <c r="F12" s="184" t="s">
        <v>211</v>
      </c>
      <c r="G12" s="1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11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44" ht="15.75" customHeight="1" x14ac:dyDescent="0.25">
      <c r="A13" s="1"/>
      <c r="B13" s="191" t="s">
        <v>227</v>
      </c>
      <c r="C13" s="913">
        <f>2/3*C11</f>
        <v>0.59999999999999987</v>
      </c>
      <c r="D13" s="914" t="s">
        <v>52</v>
      </c>
      <c r="E13" s="187" t="s">
        <v>218</v>
      </c>
      <c r="F13" s="185" t="s">
        <v>212</v>
      </c>
      <c r="G13" s="1"/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11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44" x14ac:dyDescent="0.25">
      <c r="A14" s="1"/>
      <c r="B14" s="1"/>
      <c r="C14" s="1"/>
      <c r="D14" s="1"/>
      <c r="E14" s="1"/>
      <c r="F14" s="1"/>
      <c r="G14" s="1"/>
      <c r="H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11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44" x14ac:dyDescent="0.25">
      <c r="A15" s="1"/>
      <c r="B15" s="1"/>
      <c r="C15" s="1"/>
      <c r="D15" s="1"/>
      <c r="E15" s="1"/>
      <c r="F15" s="1"/>
      <c r="G15" s="1"/>
      <c r="H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11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44" x14ac:dyDescent="0.25">
      <c r="A16" s="1"/>
      <c r="B16" s="1"/>
      <c r="C16" s="1"/>
      <c r="D16" s="1"/>
      <c r="E16" s="1"/>
      <c r="F16" s="1"/>
      <c r="G16" s="1"/>
      <c r="H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11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44" x14ac:dyDescent="0.25">
      <c r="A17" s="1"/>
      <c r="B17" s="1"/>
      <c r="C17" s="1"/>
      <c r="D17" s="1"/>
      <c r="E17" s="1"/>
      <c r="F17" s="1"/>
      <c r="G17" s="1"/>
      <c r="H17" s="10"/>
      <c r="I17" s="3"/>
      <c r="J17" s="3"/>
      <c r="K17" s="3"/>
      <c r="L17" s="3"/>
      <c r="M17" s="3"/>
      <c r="N17" s="3"/>
      <c r="O17" s="3"/>
      <c r="P17" s="3"/>
      <c r="Q17" s="3"/>
      <c r="R17" s="3"/>
      <c r="S17" s="11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44" x14ac:dyDescent="0.25">
      <c r="A18" s="1"/>
      <c r="B18" s="1"/>
      <c r="C18" s="1"/>
      <c r="D18" s="1"/>
      <c r="E18" s="1"/>
      <c r="F18" s="1"/>
      <c r="G18" s="1"/>
      <c r="H18" s="10"/>
      <c r="I18" s="3"/>
      <c r="J18" s="3"/>
      <c r="K18" s="3"/>
      <c r="L18" s="3"/>
      <c r="M18" s="3"/>
      <c r="N18" s="3"/>
      <c r="O18" s="3"/>
      <c r="P18" s="3"/>
      <c r="Q18" s="3"/>
      <c r="R18" s="3"/>
      <c r="S18" s="1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44" x14ac:dyDescent="0.25">
      <c r="A19" s="1"/>
      <c r="B19" s="1"/>
      <c r="C19" s="1"/>
      <c r="D19" s="1"/>
      <c r="E19" s="1"/>
      <c r="F19" s="1"/>
      <c r="G19" s="1"/>
      <c r="H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11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44" ht="15" customHeight="1" x14ac:dyDescent="0.25">
      <c r="A20" s="1"/>
      <c r="B20" s="1"/>
      <c r="C20" s="1"/>
      <c r="D20" s="1"/>
      <c r="E20" s="1"/>
      <c r="F20" s="1"/>
      <c r="G20" s="1"/>
      <c r="H20" s="10"/>
      <c r="I20" s="3"/>
      <c r="J20" s="3"/>
      <c r="K20" s="3"/>
      <c r="L20" s="3"/>
      <c r="M20" s="3"/>
      <c r="N20" s="3"/>
      <c r="O20" s="3"/>
      <c r="P20" s="3"/>
      <c r="Q20" s="3"/>
      <c r="R20" s="3"/>
      <c r="S20" s="11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44" ht="15" customHeight="1" x14ac:dyDescent="0.25">
      <c r="A21" s="1"/>
      <c r="B21" s="1"/>
      <c r="C21" s="1"/>
      <c r="D21" s="1"/>
      <c r="E21" s="1"/>
      <c r="F21" s="1"/>
      <c r="G21" s="1"/>
      <c r="H21" s="10"/>
      <c r="I21" s="3"/>
      <c r="J21" s="3"/>
      <c r="K21" s="3"/>
      <c r="L21" s="3"/>
      <c r="M21" s="3"/>
      <c r="N21" s="3"/>
      <c r="O21" s="3"/>
      <c r="P21" s="3"/>
      <c r="Q21" s="3"/>
      <c r="R21" s="3"/>
      <c r="S21" s="11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44" ht="13.5" customHeight="1" x14ac:dyDescent="0.25">
      <c r="A22" s="1"/>
      <c r="B22" s="1"/>
      <c r="C22" s="1"/>
      <c r="D22" s="1"/>
      <c r="E22" s="1"/>
      <c r="F22" s="1"/>
      <c r="G22" s="1"/>
      <c r="H22" s="10"/>
      <c r="I22" s="3"/>
      <c r="J22" s="3"/>
      <c r="K22" s="3"/>
      <c r="L22" s="3"/>
      <c r="M22" s="89"/>
      <c r="N22" s="89"/>
      <c r="O22" s="89"/>
      <c r="P22" s="89"/>
      <c r="Q22" s="89"/>
      <c r="R22" s="89"/>
      <c r="S22" s="11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44" ht="15" customHeight="1" x14ac:dyDescent="0.25">
      <c r="A23" s="1"/>
      <c r="B23" s="122"/>
      <c r="C23" s="122"/>
      <c r="D23" s="122"/>
      <c r="E23" s="1"/>
      <c r="F23" s="1"/>
      <c r="G23" s="1"/>
      <c r="H23" s="10"/>
      <c r="I23" s="3"/>
      <c r="J23" s="3"/>
      <c r="K23" s="3"/>
      <c r="L23" s="3"/>
      <c r="M23" s="27"/>
      <c r="N23" s="27"/>
      <c r="O23" s="27"/>
      <c r="P23" s="27"/>
      <c r="Q23" s="27"/>
      <c r="R23" s="27"/>
      <c r="S23" s="11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44" ht="15" customHeight="1" x14ac:dyDescent="0.25">
      <c r="A24" s="1"/>
      <c r="B24" s="267" t="s">
        <v>162</v>
      </c>
      <c r="C24" s="267"/>
      <c r="D24" s="267"/>
      <c r="E24" s="1" t="s">
        <v>163</v>
      </c>
      <c r="F24" s="1"/>
      <c r="G24" s="1"/>
      <c r="H24" s="10"/>
      <c r="I24" s="3"/>
      <c r="J24" s="3"/>
      <c r="K24" s="3"/>
      <c r="L24" s="3"/>
      <c r="M24" s="27"/>
      <c r="N24" s="27"/>
      <c r="O24" s="27"/>
      <c r="P24" s="27"/>
      <c r="Q24" s="27"/>
      <c r="R24" s="27"/>
      <c r="S24" s="11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44" ht="13.5" customHeight="1" x14ac:dyDescent="0.25">
      <c r="A25" s="1"/>
      <c r="B25" s="133" t="s">
        <v>38</v>
      </c>
      <c r="C25" s="130">
        <f>0.2*(C13/C12)</f>
        <v>0.11999999999999998</v>
      </c>
      <c r="D25" s="131" t="s">
        <v>151</v>
      </c>
      <c r="E25" s="1"/>
      <c r="F25" s="1"/>
      <c r="G25" s="1"/>
      <c r="H25" s="10"/>
      <c r="I25" s="3"/>
      <c r="J25" s="3"/>
      <c r="K25" s="3"/>
      <c r="L25" s="3"/>
      <c r="M25" s="27"/>
      <c r="N25" s="27"/>
      <c r="O25" s="27"/>
      <c r="P25" s="27"/>
      <c r="Q25" s="27"/>
      <c r="R25" s="27"/>
      <c r="S25" s="11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44" ht="15" customHeight="1" x14ac:dyDescent="0.25">
      <c r="A26" s="1"/>
      <c r="B26" s="134" t="s">
        <v>118</v>
      </c>
      <c r="C26" s="51">
        <f>C13/C12</f>
        <v>0.59999999999999987</v>
      </c>
      <c r="D26" s="129" t="s">
        <v>151</v>
      </c>
      <c r="E26" s="1"/>
      <c r="F26" s="1"/>
      <c r="G26" s="1"/>
      <c r="H26" s="10"/>
      <c r="I26" s="3"/>
      <c r="J26" s="3"/>
      <c r="K26" s="3"/>
      <c r="L26" s="3"/>
      <c r="M26" s="27"/>
      <c r="N26" s="27"/>
      <c r="O26" s="27"/>
      <c r="P26" s="27"/>
      <c r="Q26" s="27"/>
      <c r="R26" s="27"/>
      <c r="S26" s="11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44" ht="15.75" customHeight="1" x14ac:dyDescent="0.25">
      <c r="A27" s="1"/>
      <c r="B27" s="135" t="s">
        <v>39</v>
      </c>
      <c r="C27" s="53">
        <v>12</v>
      </c>
      <c r="D27" s="132" t="s">
        <v>151</v>
      </c>
      <c r="E27" s="1"/>
      <c r="F27" s="1"/>
      <c r="G27" s="1"/>
      <c r="H27" s="10"/>
      <c r="I27" s="3"/>
      <c r="J27" s="3"/>
      <c r="K27" s="3"/>
      <c r="L27" s="3"/>
      <c r="M27" s="27"/>
      <c r="N27" s="27"/>
      <c r="O27" s="27"/>
      <c r="P27" s="27"/>
      <c r="Q27" s="27"/>
      <c r="R27" s="27"/>
      <c r="S27" s="1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44" ht="15.75" customHeight="1" x14ac:dyDescent="0.25">
      <c r="A28" s="1"/>
      <c r="B28" s="1"/>
      <c r="C28" s="1"/>
      <c r="D28" s="1"/>
      <c r="E28" s="1"/>
      <c r="F28" s="1"/>
      <c r="G28" s="1"/>
      <c r="H28" s="10"/>
      <c r="I28" s="3"/>
      <c r="J28" s="3"/>
      <c r="K28" s="3"/>
      <c r="L28" s="3"/>
      <c r="M28" s="27"/>
      <c r="N28" s="27"/>
      <c r="O28" s="27"/>
      <c r="P28" s="27"/>
      <c r="Q28" s="27"/>
      <c r="R28" s="27"/>
      <c r="S28" s="11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44" ht="15" customHeight="1" x14ac:dyDescent="0.25">
      <c r="A29" s="1"/>
      <c r="B29" s="1"/>
      <c r="C29" s="1"/>
      <c r="D29" s="1"/>
      <c r="E29" s="1"/>
      <c r="F29" s="1"/>
      <c r="G29" s="1"/>
      <c r="H29" s="10"/>
      <c r="I29" s="3"/>
      <c r="J29" s="3"/>
      <c r="K29" s="3"/>
      <c r="L29" s="3"/>
      <c r="M29" s="27"/>
      <c r="N29" s="27"/>
      <c r="O29" s="27"/>
      <c r="P29" s="27"/>
      <c r="Q29" s="27"/>
      <c r="R29" s="27"/>
      <c r="S29" s="11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44" ht="15" customHeight="1" thickBot="1" x14ac:dyDescent="0.3">
      <c r="A30" s="1"/>
      <c r="B30" s="1"/>
      <c r="C30" s="1"/>
      <c r="D30" s="1"/>
      <c r="E30" s="1"/>
      <c r="F30" s="1"/>
      <c r="G30" s="1"/>
      <c r="H30" s="23"/>
      <c r="I30" s="24"/>
      <c r="J30" s="24"/>
      <c r="K30" s="24"/>
      <c r="L30" s="24"/>
      <c r="M30" s="28"/>
      <c r="N30" s="28"/>
      <c r="O30" s="28"/>
      <c r="P30" s="28"/>
      <c r="Q30" s="28"/>
      <c r="R30" s="28"/>
      <c r="S30" s="25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44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3"/>
      <c r="O31" s="1"/>
      <c r="P31" s="1"/>
      <c r="Q31" s="1"/>
      <c r="R31" s="1"/>
      <c r="U31" s="39"/>
      <c r="V31" s="39"/>
      <c r="W31" s="39"/>
      <c r="X31" s="39"/>
      <c r="Y31" s="39"/>
      <c r="Z31" s="39"/>
      <c r="AA31" s="39"/>
      <c r="AB31" s="39"/>
      <c r="AC31" s="39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</row>
    <row r="32" spans="1:44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1"/>
      <c r="P32" s="1"/>
      <c r="Q32" s="1"/>
      <c r="R32" s="1"/>
      <c r="U32" s="39"/>
      <c r="V32" s="39"/>
      <c r="W32" s="39"/>
      <c r="X32" s="39"/>
      <c r="Y32" s="39"/>
      <c r="Z32" s="39"/>
      <c r="AA32" s="39"/>
      <c r="AB32" s="39"/>
      <c r="AC32" s="39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</row>
    <row r="33" spans="1:44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1"/>
      <c r="P33" s="1"/>
      <c r="Q33" s="1"/>
      <c r="R33" s="1"/>
      <c r="U33" s="39"/>
      <c r="V33" s="39"/>
      <c r="W33" s="39"/>
      <c r="X33" s="39"/>
      <c r="Y33" s="39"/>
      <c r="Z33" s="39"/>
      <c r="AA33" s="39"/>
      <c r="AB33" s="39"/>
      <c r="AC33" s="39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</row>
    <row r="34" spans="1:44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  <c r="O34" s="1"/>
      <c r="P34" s="1"/>
      <c r="Q34" s="1"/>
      <c r="R34" s="1"/>
      <c r="U34" s="39"/>
      <c r="V34" s="39"/>
      <c r="W34" s="39"/>
      <c r="X34" s="39"/>
      <c r="Y34" s="39"/>
      <c r="Z34" s="39"/>
      <c r="AA34" s="39"/>
      <c r="AB34" s="39"/>
      <c r="AC34" s="39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</row>
    <row r="35" spans="1:44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1"/>
      <c r="P35" s="1"/>
      <c r="Q35" s="1"/>
      <c r="R35" s="1"/>
      <c r="U35" s="39"/>
      <c r="V35" s="39"/>
      <c r="W35" s="39"/>
      <c r="X35" s="39"/>
      <c r="Y35" s="39"/>
      <c r="Z35" s="39"/>
      <c r="AA35" s="39"/>
      <c r="AB35" s="39"/>
      <c r="AC35" s="39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</row>
    <row r="36" spans="1:44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  <c r="O36" s="1"/>
      <c r="P36" s="1"/>
      <c r="Q36" s="1"/>
      <c r="R36" s="1"/>
      <c r="U36" s="39"/>
      <c r="V36" s="39"/>
      <c r="W36" s="39"/>
      <c r="X36" s="39"/>
      <c r="Y36" s="39"/>
      <c r="Z36" s="39"/>
      <c r="AA36" s="39"/>
      <c r="AB36" s="39"/>
      <c r="AC36" s="39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</row>
    <row r="37" spans="1:44" ht="15" customHeight="1" x14ac:dyDescent="0.25">
      <c r="A37" s="1"/>
      <c r="B37" s="1"/>
      <c r="C37" s="1"/>
      <c r="D37" s="1"/>
      <c r="E37" s="1"/>
      <c r="F37" s="1"/>
      <c r="G37" s="1"/>
      <c r="H37" s="27"/>
      <c r="I37" s="27"/>
      <c r="J37" s="27"/>
      <c r="K37" s="27"/>
      <c r="L37" s="27"/>
      <c r="M37" s="1"/>
      <c r="N37" s="3"/>
      <c r="O37" s="1"/>
      <c r="P37" s="1"/>
      <c r="Q37" s="1"/>
      <c r="R37" s="1"/>
      <c r="U37" s="39"/>
      <c r="V37" s="39"/>
      <c r="W37" s="39"/>
      <c r="X37" s="39"/>
      <c r="Y37" s="39"/>
      <c r="Z37" s="39"/>
      <c r="AA37" s="39"/>
      <c r="AB37" s="39"/>
      <c r="AC37" s="39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</row>
    <row r="38" spans="1:44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U38" s="39"/>
      <c r="V38" s="39"/>
      <c r="W38" s="39"/>
      <c r="X38" s="39"/>
      <c r="Y38" s="39"/>
      <c r="Z38" s="39"/>
      <c r="AA38" s="39"/>
      <c r="AB38" s="39"/>
      <c r="AC38" s="39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</row>
    <row r="39" spans="1:44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U39" s="39"/>
      <c r="V39" s="39"/>
      <c r="W39" s="39"/>
      <c r="X39" s="39"/>
      <c r="Y39" s="39"/>
      <c r="Z39" s="39"/>
      <c r="AA39" s="39"/>
      <c r="AB39" s="39"/>
      <c r="AC39" s="39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</row>
    <row r="40" spans="1:44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U40" s="39"/>
      <c r="V40" s="39"/>
      <c r="W40" s="39"/>
      <c r="X40" s="39"/>
      <c r="Y40" s="39"/>
      <c r="Z40" s="39"/>
      <c r="AA40" s="39"/>
      <c r="AB40" s="39"/>
      <c r="AC40" s="39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</row>
    <row r="41" spans="1:44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U41" s="39"/>
      <c r="V41" s="39"/>
      <c r="W41" s="39"/>
      <c r="X41" s="39"/>
      <c r="Y41" s="39"/>
      <c r="Z41" s="39"/>
      <c r="AA41" s="39"/>
      <c r="AB41" s="39"/>
      <c r="AC41" s="39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</row>
    <row r="42" spans="1:44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U42" s="39"/>
      <c r="V42" s="39"/>
      <c r="W42" s="39"/>
      <c r="X42" s="39"/>
      <c r="Y42" s="39"/>
      <c r="Z42" s="39"/>
      <c r="AA42" s="39"/>
      <c r="AB42" s="39"/>
      <c r="AC42" s="39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</row>
    <row r="43" spans="1:44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U43" s="39"/>
      <c r="V43" s="39"/>
      <c r="W43" s="39"/>
      <c r="X43" s="39"/>
      <c r="Y43" s="39"/>
      <c r="Z43" s="39"/>
      <c r="AA43" s="39"/>
      <c r="AB43" s="39"/>
      <c r="AC43" s="39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</row>
    <row r="44" spans="1:44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U44" s="39"/>
      <c r="V44" s="39"/>
      <c r="W44" s="39"/>
      <c r="X44" s="39"/>
      <c r="Y44" s="39"/>
      <c r="Z44" s="39"/>
      <c r="AA44" s="39"/>
      <c r="AB44" s="39"/>
      <c r="AC44" s="39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</row>
    <row r="45" spans="1:44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U45" s="39"/>
      <c r="V45" s="39"/>
      <c r="W45" s="39"/>
      <c r="X45" s="39"/>
      <c r="Y45" s="39"/>
      <c r="Z45" s="39"/>
      <c r="AA45" s="39"/>
      <c r="AB45" s="39"/>
      <c r="AC45" s="39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</row>
    <row r="46" spans="1:44" ht="15" customHeight="1" thickBo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9"/>
      <c r="V46" s="39"/>
      <c r="W46" s="39"/>
      <c r="X46" s="39"/>
      <c r="Y46" s="39"/>
      <c r="Z46" s="39"/>
      <c r="AA46" s="39"/>
      <c r="AB46" s="39"/>
      <c r="AC46" s="39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</row>
    <row r="47" spans="1:44" ht="15" customHeight="1" thickTop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U47" s="39"/>
      <c r="V47" s="39"/>
      <c r="W47" s="39"/>
      <c r="X47" s="39"/>
      <c r="Y47" s="39"/>
      <c r="Z47" s="39"/>
      <c r="AA47" s="39"/>
      <c r="AB47" s="39"/>
      <c r="AC47" s="39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</row>
    <row r="48" spans="1:44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U48" s="39"/>
      <c r="V48" s="39"/>
      <c r="W48" s="39"/>
      <c r="X48" s="39"/>
      <c r="Y48" s="39"/>
      <c r="Z48" s="39"/>
      <c r="AA48" s="39"/>
      <c r="AB48" s="39"/>
      <c r="AC48" s="39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</row>
    <row r="49" spans="1:31" ht="15" customHeight="1" thickBot="1" x14ac:dyDescent="0.3">
      <c r="A49" s="1"/>
      <c r="B49" s="966"/>
      <c r="C49" s="967"/>
      <c r="D49" s="967"/>
      <c r="E49" s="967"/>
      <c r="F49" s="967"/>
      <c r="G49" s="967"/>
      <c r="H49" s="967"/>
      <c r="I49" s="967"/>
      <c r="J49" s="1"/>
      <c r="K49" s="1"/>
      <c r="L49" s="1"/>
      <c r="M49" s="1"/>
      <c r="N49" s="1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/>
      <c r="AE49" s="40"/>
    </row>
    <row r="50" spans="1:31" ht="15" customHeight="1" thickBot="1" x14ac:dyDescent="0.3">
      <c r="A50" s="2"/>
      <c r="B50" s="1"/>
      <c r="C50" s="1"/>
      <c r="D50" s="1"/>
      <c r="E50" s="1"/>
      <c r="F50" s="1"/>
      <c r="G50" s="1"/>
      <c r="H50" s="1"/>
      <c r="I50" s="12"/>
      <c r="J50" s="968"/>
      <c r="K50" s="1"/>
      <c r="L50" s="1"/>
      <c r="M50" s="1"/>
      <c r="N50" s="1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40"/>
      <c r="AE50" s="40"/>
    </row>
    <row r="51" spans="1:31" ht="15.75" customHeight="1" x14ac:dyDescent="0.25">
      <c r="A51" s="2"/>
      <c r="B51" s="1"/>
      <c r="C51" s="307" t="s">
        <v>34</v>
      </c>
      <c r="D51" s="308"/>
      <c r="E51" s="308"/>
      <c r="F51" s="308"/>
      <c r="G51" s="308"/>
      <c r="H51" s="308"/>
      <c r="I51" s="2"/>
      <c r="J51" s="1"/>
      <c r="K51" s="1"/>
      <c r="L51" s="1"/>
      <c r="M51" s="1"/>
      <c r="N51" s="1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40"/>
      <c r="AE51" s="40"/>
    </row>
    <row r="52" spans="1:31" ht="15.75" customHeight="1" thickBot="1" x14ac:dyDescent="0.3">
      <c r="A52" s="2"/>
      <c r="B52" s="1"/>
      <c r="C52" s="309"/>
      <c r="D52" s="310"/>
      <c r="E52" s="310"/>
      <c r="F52" s="310"/>
      <c r="G52" s="310"/>
      <c r="H52" s="310"/>
      <c r="I52" s="2"/>
      <c r="J52" s="1"/>
      <c r="K52" s="1"/>
      <c r="L52" s="1"/>
      <c r="M52" s="1"/>
      <c r="N52" s="1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40"/>
      <c r="AE52" s="40"/>
    </row>
    <row r="53" spans="1:31" x14ac:dyDescent="0.25">
      <c r="A53" s="2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40"/>
      <c r="AE53" s="40"/>
    </row>
    <row r="54" spans="1:31" x14ac:dyDescent="0.25">
      <c r="A54" s="4"/>
      <c r="B54" s="1"/>
      <c r="C54" s="311" t="s">
        <v>33</v>
      </c>
      <c r="D54" s="312"/>
      <c r="E54" s="312"/>
      <c r="F54" s="313"/>
      <c r="G54" s="1"/>
      <c r="H54" s="1"/>
      <c r="I54" s="2"/>
      <c r="J54" s="1"/>
      <c r="K54" s="1"/>
      <c r="L54" s="1"/>
      <c r="M54" s="1"/>
      <c r="N54" s="1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40"/>
      <c r="AE54" s="40"/>
    </row>
    <row r="55" spans="1:31" ht="15" customHeight="1" x14ac:dyDescent="0.25">
      <c r="A55" s="2"/>
      <c r="B55" s="1"/>
      <c r="C55" s="14" t="s">
        <v>32</v>
      </c>
      <c r="D55" s="950">
        <v>0.01</v>
      </c>
      <c r="E55" s="15" t="s">
        <v>31</v>
      </c>
      <c r="F55" s="16"/>
      <c r="G55" s="1"/>
      <c r="H55" s="1"/>
      <c r="I55" s="45"/>
      <c r="J55" s="38"/>
      <c r="K55" s="38"/>
      <c r="L55" s="1"/>
      <c r="M55" s="1"/>
      <c r="N55" s="1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40"/>
      <c r="AE55" s="40"/>
    </row>
    <row r="56" spans="1:31" ht="15.75" customHeight="1" thickBot="1" x14ac:dyDescent="0.3">
      <c r="A56" s="2"/>
      <c r="B56" s="1"/>
      <c r="C56" s="17"/>
      <c r="D56" s="3"/>
      <c r="E56" s="3"/>
      <c r="F56" s="3"/>
      <c r="G56" s="1"/>
      <c r="H56" s="1"/>
      <c r="I56" s="42"/>
      <c r="J56" s="38"/>
      <c r="K56" s="38"/>
      <c r="L56" s="1"/>
      <c r="M56" s="1"/>
      <c r="N56" s="1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40"/>
      <c r="AE56" s="40"/>
    </row>
    <row r="57" spans="1:31" ht="15.75" customHeight="1" thickBot="1" x14ac:dyDescent="0.3">
      <c r="A57" s="2"/>
      <c r="B57" s="1"/>
      <c r="C57" s="271" t="s">
        <v>41</v>
      </c>
      <c r="D57" s="272"/>
      <c r="E57" s="272"/>
      <c r="F57" s="272"/>
      <c r="G57" s="272"/>
      <c r="H57" s="273"/>
      <c r="I57" s="42"/>
      <c r="J57" s="38"/>
      <c r="K57" s="38"/>
      <c r="L57" s="39"/>
      <c r="M57" s="39"/>
      <c r="N57" s="1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40"/>
      <c r="AE57" s="40"/>
    </row>
    <row r="58" spans="1:31" ht="15.75" customHeight="1" thickBot="1" x14ac:dyDescent="0.3">
      <c r="A58" s="2"/>
      <c r="B58" s="1"/>
      <c r="C58" s="298" t="s">
        <v>1</v>
      </c>
      <c r="D58" s="300" t="s">
        <v>0</v>
      </c>
      <c r="E58" s="289" t="e">
        <f>#REF!</f>
        <v>#REF!</v>
      </c>
      <c r="F58" s="302"/>
      <c r="G58" s="302"/>
      <c r="H58" s="290"/>
      <c r="I58" s="42"/>
      <c r="J58" s="38"/>
      <c r="K58" s="38"/>
      <c r="L58" s="39"/>
      <c r="M58" s="39"/>
      <c r="N58" s="1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40"/>
      <c r="AE58" s="40"/>
    </row>
    <row r="59" spans="1:31" ht="15.75" customHeight="1" thickBot="1" x14ac:dyDescent="0.3">
      <c r="A59" s="2"/>
      <c r="B59" s="1"/>
      <c r="C59" s="299"/>
      <c r="D59" s="301"/>
      <c r="E59" s="19" t="s">
        <v>35</v>
      </c>
      <c r="F59" s="20" t="s">
        <v>37</v>
      </c>
      <c r="G59" s="20" t="s">
        <v>36</v>
      </c>
      <c r="H59" s="21" t="s">
        <v>40</v>
      </c>
      <c r="I59" s="42"/>
      <c r="J59" s="38"/>
      <c r="K59" s="38"/>
      <c r="L59" s="39"/>
      <c r="M59" s="39"/>
      <c r="N59" s="1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40"/>
      <c r="AE59" s="40"/>
    </row>
    <row r="60" spans="1:31" ht="15" customHeight="1" x14ac:dyDescent="0.25">
      <c r="A60" s="2"/>
      <c r="B60" s="1"/>
      <c r="C60" s="22">
        <v>0</v>
      </c>
      <c r="D60" s="33">
        <f>C60*D55</f>
        <v>0</v>
      </c>
      <c r="E60" s="30">
        <f t="shared" ref="E60:E123" si="0">IF(D60&lt;$C$25,0.4+5*D60,0)</f>
        <v>0.4</v>
      </c>
      <c r="F60" s="31">
        <f t="shared" ref="F60:F123" si="1">IF(AND(D60&gt;=$C$25,D60&lt;=$C$26),$C$12,0)</f>
        <v>0</v>
      </c>
      <c r="G60" s="32">
        <f t="shared" ref="G60:G123" si="2">IF(D60&gt;$C$26,$C$13/D60,0)</f>
        <v>0</v>
      </c>
      <c r="H60" s="33">
        <f>SUM(E60:G60)</f>
        <v>0.4</v>
      </c>
      <c r="I60" s="42"/>
      <c r="J60" s="38"/>
      <c r="K60" s="38"/>
      <c r="L60" s="39"/>
      <c r="M60" s="39"/>
      <c r="N60" s="1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40"/>
      <c r="AE60" s="40"/>
    </row>
    <row r="61" spans="1:31" ht="15" customHeight="1" x14ac:dyDescent="0.25">
      <c r="A61" s="2"/>
      <c r="B61" s="1"/>
      <c r="C61" s="22">
        <v>1</v>
      </c>
      <c r="D61" s="34">
        <f t="shared" ref="D61:D124" si="3">$D$55*C61</f>
        <v>0.01</v>
      </c>
      <c r="E61" s="30">
        <f t="shared" si="0"/>
        <v>0.45</v>
      </c>
      <c r="F61" s="31">
        <f t="shared" si="1"/>
        <v>0</v>
      </c>
      <c r="G61" s="32">
        <f t="shared" si="2"/>
        <v>0</v>
      </c>
      <c r="H61" s="34">
        <f t="shared" ref="H61:H124" si="4">SUM(E61:G61)</f>
        <v>0.45</v>
      </c>
      <c r="I61" s="42"/>
      <c r="J61" s="38"/>
      <c r="K61" s="38"/>
      <c r="L61" s="39"/>
      <c r="M61" s="39"/>
      <c r="N61" s="1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40"/>
      <c r="AE61" s="40"/>
    </row>
    <row r="62" spans="1:31" ht="15" customHeight="1" x14ac:dyDescent="0.25">
      <c r="A62" s="5"/>
      <c r="B62" s="1"/>
      <c r="C62" s="22">
        <v>2</v>
      </c>
      <c r="D62" s="34">
        <f t="shared" si="3"/>
        <v>0.02</v>
      </c>
      <c r="E62" s="30">
        <f t="shared" si="0"/>
        <v>0.5</v>
      </c>
      <c r="F62" s="31">
        <f t="shared" si="1"/>
        <v>0</v>
      </c>
      <c r="G62" s="32">
        <f t="shared" si="2"/>
        <v>0</v>
      </c>
      <c r="H62" s="34">
        <f t="shared" si="4"/>
        <v>0.5</v>
      </c>
      <c r="I62" s="42"/>
      <c r="J62" s="38"/>
      <c r="K62" s="38"/>
      <c r="L62" s="39"/>
      <c r="M62" s="39"/>
      <c r="N62" s="1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40"/>
      <c r="AE62" s="40"/>
    </row>
    <row r="63" spans="1:31" ht="15" customHeight="1" x14ac:dyDescent="0.25">
      <c r="A63" s="6"/>
      <c r="B63" s="1"/>
      <c r="C63" s="22">
        <v>3</v>
      </c>
      <c r="D63" s="34">
        <f t="shared" si="3"/>
        <v>0.03</v>
      </c>
      <c r="E63" s="30">
        <f t="shared" si="0"/>
        <v>0.55000000000000004</v>
      </c>
      <c r="F63" s="31">
        <f t="shared" si="1"/>
        <v>0</v>
      </c>
      <c r="G63" s="32">
        <f t="shared" si="2"/>
        <v>0</v>
      </c>
      <c r="H63" s="34">
        <f t="shared" si="4"/>
        <v>0.55000000000000004</v>
      </c>
      <c r="I63" s="43"/>
      <c r="J63" s="38"/>
      <c r="K63" s="38"/>
      <c r="L63" s="39"/>
      <c r="M63" s="39"/>
      <c r="N63" s="1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40"/>
      <c r="AE63" s="40"/>
    </row>
    <row r="64" spans="1:31" ht="15" customHeight="1" x14ac:dyDescent="0.25">
      <c r="A64" s="6"/>
      <c r="B64" s="1"/>
      <c r="C64" s="22">
        <v>4</v>
      </c>
      <c r="D64" s="34">
        <f t="shared" si="3"/>
        <v>0.04</v>
      </c>
      <c r="E64" s="30">
        <f t="shared" si="0"/>
        <v>0.60000000000000009</v>
      </c>
      <c r="F64" s="31">
        <f t="shared" si="1"/>
        <v>0</v>
      </c>
      <c r="G64" s="32">
        <f t="shared" si="2"/>
        <v>0</v>
      </c>
      <c r="H64" s="34">
        <f t="shared" si="4"/>
        <v>0.60000000000000009</v>
      </c>
      <c r="I64" s="44"/>
      <c r="J64" s="38"/>
      <c r="K64" s="38"/>
      <c r="L64" s="39"/>
      <c r="M64" s="39"/>
      <c r="N64" s="1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40"/>
      <c r="AE64" s="40"/>
    </row>
    <row r="65" spans="1:31" ht="15.75" customHeight="1" x14ac:dyDescent="0.25">
      <c r="A65" s="2"/>
      <c r="B65" s="1"/>
      <c r="C65" s="22">
        <v>5</v>
      </c>
      <c r="D65" s="34">
        <f t="shared" si="3"/>
        <v>0.05</v>
      </c>
      <c r="E65" s="30">
        <f t="shared" si="0"/>
        <v>0.65</v>
      </c>
      <c r="F65" s="31">
        <f t="shared" si="1"/>
        <v>0</v>
      </c>
      <c r="G65" s="32">
        <f t="shared" si="2"/>
        <v>0</v>
      </c>
      <c r="H65" s="34">
        <f t="shared" si="4"/>
        <v>0.65</v>
      </c>
      <c r="I65" s="44"/>
      <c r="J65" s="38"/>
      <c r="K65" s="38"/>
      <c r="L65" s="39"/>
      <c r="M65" s="39"/>
      <c r="N65" s="1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40"/>
      <c r="AE65" s="40"/>
    </row>
    <row r="66" spans="1:31" ht="15" customHeight="1" x14ac:dyDescent="0.25">
      <c r="A66" s="2"/>
      <c r="B66" s="1"/>
      <c r="C66" s="22">
        <v>6</v>
      </c>
      <c r="D66" s="34">
        <f t="shared" si="3"/>
        <v>0.06</v>
      </c>
      <c r="E66" s="30">
        <f t="shared" si="0"/>
        <v>0.7</v>
      </c>
      <c r="F66" s="31">
        <f t="shared" si="1"/>
        <v>0</v>
      </c>
      <c r="G66" s="32">
        <f t="shared" si="2"/>
        <v>0</v>
      </c>
      <c r="H66" s="34">
        <f t="shared" si="4"/>
        <v>0.7</v>
      </c>
      <c r="I66" s="42"/>
      <c r="J66" s="38"/>
      <c r="K66" s="38"/>
      <c r="L66" s="39"/>
      <c r="M66" s="39"/>
      <c r="N66" s="1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40"/>
      <c r="AE66" s="40"/>
    </row>
    <row r="67" spans="1:31" ht="15" customHeight="1" x14ac:dyDescent="0.25">
      <c r="A67" s="2"/>
      <c r="B67" s="1"/>
      <c r="C67" s="22">
        <v>7</v>
      </c>
      <c r="D67" s="34">
        <f t="shared" si="3"/>
        <v>7.0000000000000007E-2</v>
      </c>
      <c r="E67" s="30">
        <f t="shared" si="0"/>
        <v>0.75</v>
      </c>
      <c r="F67" s="31">
        <f t="shared" si="1"/>
        <v>0</v>
      </c>
      <c r="G67" s="32">
        <f t="shared" si="2"/>
        <v>0</v>
      </c>
      <c r="H67" s="34">
        <f t="shared" si="4"/>
        <v>0.75</v>
      </c>
      <c r="I67" s="42"/>
      <c r="J67" s="38"/>
      <c r="K67" s="38"/>
      <c r="L67" s="39"/>
      <c r="M67" s="39"/>
      <c r="N67" s="1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40"/>
      <c r="AE67" s="40"/>
    </row>
    <row r="68" spans="1:31" ht="15" customHeight="1" x14ac:dyDescent="0.25">
      <c r="A68" s="2"/>
      <c r="B68" s="1"/>
      <c r="C68" s="22">
        <v>8</v>
      </c>
      <c r="D68" s="34">
        <f t="shared" si="3"/>
        <v>0.08</v>
      </c>
      <c r="E68" s="30">
        <f t="shared" si="0"/>
        <v>0.8</v>
      </c>
      <c r="F68" s="31">
        <f t="shared" si="1"/>
        <v>0</v>
      </c>
      <c r="G68" s="32">
        <f t="shared" si="2"/>
        <v>0</v>
      </c>
      <c r="H68" s="34">
        <f t="shared" si="4"/>
        <v>0.8</v>
      </c>
      <c r="I68" s="42"/>
      <c r="J68" s="38"/>
      <c r="K68" s="38"/>
      <c r="L68" s="39"/>
      <c r="M68" s="39"/>
      <c r="N68" s="1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40"/>
      <c r="AE68" s="40"/>
    </row>
    <row r="69" spans="1:31" ht="15" customHeight="1" x14ac:dyDescent="0.25">
      <c r="A69" s="2"/>
      <c r="B69" s="1"/>
      <c r="C69" s="22">
        <v>9</v>
      </c>
      <c r="D69" s="34">
        <f t="shared" si="3"/>
        <v>0.09</v>
      </c>
      <c r="E69" s="30">
        <f t="shared" si="0"/>
        <v>0.85</v>
      </c>
      <c r="F69" s="31">
        <f t="shared" si="1"/>
        <v>0</v>
      </c>
      <c r="G69" s="32">
        <f t="shared" si="2"/>
        <v>0</v>
      </c>
      <c r="H69" s="34">
        <f t="shared" si="4"/>
        <v>0.85</v>
      </c>
      <c r="I69" s="42"/>
      <c r="J69" s="38"/>
      <c r="K69" s="38"/>
      <c r="L69" s="39"/>
      <c r="M69" s="39"/>
      <c r="N69" s="1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40"/>
      <c r="AE69" s="40"/>
    </row>
    <row r="70" spans="1:31" ht="15" customHeight="1" x14ac:dyDescent="0.25">
      <c r="A70" s="2"/>
      <c r="B70" s="1"/>
      <c r="C70" s="22">
        <v>10</v>
      </c>
      <c r="D70" s="34">
        <f t="shared" si="3"/>
        <v>0.1</v>
      </c>
      <c r="E70" s="30">
        <f t="shared" si="0"/>
        <v>0.9</v>
      </c>
      <c r="F70" s="31">
        <f t="shared" si="1"/>
        <v>0</v>
      </c>
      <c r="G70" s="32">
        <f t="shared" si="2"/>
        <v>0</v>
      </c>
      <c r="H70" s="34">
        <f t="shared" si="4"/>
        <v>0.9</v>
      </c>
      <c r="I70" s="42"/>
      <c r="J70" s="38"/>
      <c r="K70" s="38"/>
      <c r="L70" s="39"/>
      <c r="M70" s="39"/>
      <c r="N70" s="1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40"/>
      <c r="AE70" s="40"/>
    </row>
    <row r="71" spans="1:31" ht="15" customHeight="1" x14ac:dyDescent="0.25">
      <c r="A71" s="2"/>
      <c r="B71" s="1"/>
      <c r="C71" s="22">
        <v>11</v>
      </c>
      <c r="D71" s="34">
        <f t="shared" si="3"/>
        <v>0.11</v>
      </c>
      <c r="E71" s="30">
        <f t="shared" si="0"/>
        <v>0.95000000000000007</v>
      </c>
      <c r="F71" s="31">
        <f t="shared" si="1"/>
        <v>0</v>
      </c>
      <c r="G71" s="32">
        <f t="shared" si="2"/>
        <v>0</v>
      </c>
      <c r="H71" s="34">
        <f t="shared" si="4"/>
        <v>0.95000000000000007</v>
      </c>
      <c r="I71" s="42"/>
      <c r="J71" s="38"/>
      <c r="K71" s="38"/>
      <c r="L71" s="39"/>
      <c r="M71" s="39"/>
      <c r="N71" s="1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40"/>
      <c r="AE71" s="40"/>
    </row>
    <row r="72" spans="1:31" ht="15" customHeight="1" x14ac:dyDescent="0.25">
      <c r="A72" s="2"/>
      <c r="B72" s="1"/>
      <c r="C72" s="22">
        <v>12</v>
      </c>
      <c r="D72" s="34">
        <f t="shared" si="3"/>
        <v>0.12</v>
      </c>
      <c r="E72" s="30">
        <f t="shared" si="0"/>
        <v>0</v>
      </c>
      <c r="F72" s="31">
        <f t="shared" si="1"/>
        <v>1</v>
      </c>
      <c r="G72" s="32">
        <f t="shared" si="2"/>
        <v>0</v>
      </c>
      <c r="H72" s="34">
        <f t="shared" si="4"/>
        <v>1</v>
      </c>
      <c r="I72" s="42"/>
      <c r="J72" s="38"/>
      <c r="K72" s="38"/>
      <c r="L72" s="39"/>
      <c r="M72" s="39"/>
      <c r="N72" s="1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40"/>
      <c r="AE72" s="40"/>
    </row>
    <row r="73" spans="1:31" ht="15" customHeight="1" x14ac:dyDescent="0.25">
      <c r="A73" s="2"/>
      <c r="B73" s="1"/>
      <c r="C73" s="22">
        <v>13</v>
      </c>
      <c r="D73" s="34">
        <f t="shared" si="3"/>
        <v>0.13</v>
      </c>
      <c r="E73" s="30">
        <f t="shared" si="0"/>
        <v>0</v>
      </c>
      <c r="F73" s="31">
        <f t="shared" si="1"/>
        <v>1</v>
      </c>
      <c r="G73" s="32">
        <f t="shared" si="2"/>
        <v>0</v>
      </c>
      <c r="H73" s="34">
        <f t="shared" si="4"/>
        <v>1</v>
      </c>
      <c r="I73" s="42"/>
      <c r="J73" s="38"/>
      <c r="K73" s="38"/>
      <c r="L73" s="39"/>
      <c r="M73" s="39"/>
      <c r="N73" s="1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40"/>
      <c r="AE73" s="40"/>
    </row>
    <row r="74" spans="1:31" ht="15" customHeight="1" x14ac:dyDescent="0.25">
      <c r="A74" s="2"/>
      <c r="B74" s="1"/>
      <c r="C74" s="22">
        <v>14</v>
      </c>
      <c r="D74" s="34">
        <f t="shared" si="3"/>
        <v>0.14000000000000001</v>
      </c>
      <c r="E74" s="30">
        <f t="shared" si="0"/>
        <v>0</v>
      </c>
      <c r="F74" s="31">
        <f t="shared" si="1"/>
        <v>1</v>
      </c>
      <c r="G74" s="32">
        <f t="shared" si="2"/>
        <v>0</v>
      </c>
      <c r="H74" s="34">
        <f t="shared" si="4"/>
        <v>1</v>
      </c>
      <c r="I74" s="42"/>
      <c r="J74" s="38"/>
      <c r="K74" s="38"/>
      <c r="L74" s="39"/>
      <c r="M74" s="39"/>
      <c r="N74" s="1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40"/>
      <c r="AE74" s="40"/>
    </row>
    <row r="75" spans="1:31" ht="15.75" customHeight="1" x14ac:dyDescent="0.25">
      <c r="A75" s="2"/>
      <c r="B75" s="1"/>
      <c r="C75" s="22">
        <v>15</v>
      </c>
      <c r="D75" s="34">
        <f t="shared" si="3"/>
        <v>0.15</v>
      </c>
      <c r="E75" s="30">
        <f t="shared" si="0"/>
        <v>0</v>
      </c>
      <c r="F75" s="31">
        <f t="shared" si="1"/>
        <v>1</v>
      </c>
      <c r="G75" s="32">
        <f t="shared" si="2"/>
        <v>0</v>
      </c>
      <c r="H75" s="34">
        <f t="shared" si="4"/>
        <v>1</v>
      </c>
      <c r="I75" s="42"/>
      <c r="J75" s="38"/>
      <c r="K75" s="38"/>
      <c r="L75" s="39"/>
      <c r="M75" s="39"/>
      <c r="N75" s="1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40"/>
      <c r="AE75" s="40"/>
    </row>
    <row r="76" spans="1:31" ht="15" customHeight="1" x14ac:dyDescent="0.25">
      <c r="A76" s="2"/>
      <c r="B76" s="1"/>
      <c r="C76" s="22">
        <v>16</v>
      </c>
      <c r="D76" s="34">
        <f t="shared" si="3"/>
        <v>0.16</v>
      </c>
      <c r="E76" s="30">
        <f t="shared" si="0"/>
        <v>0</v>
      </c>
      <c r="F76" s="31">
        <f t="shared" si="1"/>
        <v>1</v>
      </c>
      <c r="G76" s="32">
        <f t="shared" si="2"/>
        <v>0</v>
      </c>
      <c r="H76" s="34">
        <f t="shared" si="4"/>
        <v>1</v>
      </c>
      <c r="I76" s="42"/>
      <c r="J76" s="38"/>
      <c r="K76" s="38"/>
      <c r="L76" s="39"/>
      <c r="M76" s="39"/>
      <c r="N76" s="1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40"/>
      <c r="AE76" s="40"/>
    </row>
    <row r="77" spans="1:31" ht="15" customHeight="1" x14ac:dyDescent="0.25">
      <c r="A77" s="2"/>
      <c r="B77" s="1"/>
      <c r="C77" s="22">
        <v>17</v>
      </c>
      <c r="D77" s="34">
        <f t="shared" si="3"/>
        <v>0.17</v>
      </c>
      <c r="E77" s="30">
        <f t="shared" si="0"/>
        <v>0</v>
      </c>
      <c r="F77" s="31">
        <f t="shared" si="1"/>
        <v>1</v>
      </c>
      <c r="G77" s="32">
        <f t="shared" si="2"/>
        <v>0</v>
      </c>
      <c r="H77" s="34">
        <f t="shared" si="4"/>
        <v>1</v>
      </c>
      <c r="I77" s="42"/>
      <c r="J77" s="38"/>
      <c r="K77" s="38"/>
      <c r="L77" s="39"/>
      <c r="M77" s="39"/>
      <c r="N77" s="1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40"/>
      <c r="AE77" s="40"/>
    </row>
    <row r="78" spans="1:31" ht="15" customHeight="1" x14ac:dyDescent="0.25">
      <c r="A78" s="2"/>
      <c r="B78" s="1"/>
      <c r="C78" s="22">
        <v>18</v>
      </c>
      <c r="D78" s="34">
        <f t="shared" si="3"/>
        <v>0.18</v>
      </c>
      <c r="E78" s="30">
        <f t="shared" si="0"/>
        <v>0</v>
      </c>
      <c r="F78" s="31">
        <f t="shared" si="1"/>
        <v>1</v>
      </c>
      <c r="G78" s="32">
        <f t="shared" si="2"/>
        <v>0</v>
      </c>
      <c r="H78" s="34">
        <f t="shared" si="4"/>
        <v>1</v>
      </c>
      <c r="I78" s="42"/>
      <c r="J78" s="38"/>
      <c r="K78" s="38"/>
      <c r="L78" s="39"/>
      <c r="M78" s="39"/>
      <c r="N78" s="1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40"/>
      <c r="AE78" s="40"/>
    </row>
    <row r="79" spans="1:31" ht="15" customHeight="1" x14ac:dyDescent="0.25">
      <c r="A79" s="2"/>
      <c r="B79" s="1"/>
      <c r="C79" s="22">
        <v>19</v>
      </c>
      <c r="D79" s="34">
        <f t="shared" si="3"/>
        <v>0.19</v>
      </c>
      <c r="E79" s="30">
        <f t="shared" si="0"/>
        <v>0</v>
      </c>
      <c r="F79" s="31">
        <f t="shared" si="1"/>
        <v>1</v>
      </c>
      <c r="G79" s="32">
        <f t="shared" si="2"/>
        <v>0</v>
      </c>
      <c r="H79" s="34">
        <f t="shared" si="4"/>
        <v>1</v>
      </c>
      <c r="I79" s="42"/>
      <c r="J79" s="38"/>
      <c r="K79" s="38"/>
      <c r="L79" s="39"/>
      <c r="M79" s="39"/>
      <c r="N79" s="1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40"/>
      <c r="AE79" s="40"/>
    </row>
    <row r="80" spans="1:31" ht="15" customHeight="1" x14ac:dyDescent="0.25">
      <c r="A80" s="2"/>
      <c r="B80" s="1"/>
      <c r="C80" s="22">
        <v>20</v>
      </c>
      <c r="D80" s="34">
        <f t="shared" si="3"/>
        <v>0.2</v>
      </c>
      <c r="E80" s="30">
        <f t="shared" si="0"/>
        <v>0</v>
      </c>
      <c r="F80" s="31">
        <f t="shared" si="1"/>
        <v>1</v>
      </c>
      <c r="G80" s="32">
        <f t="shared" si="2"/>
        <v>0</v>
      </c>
      <c r="H80" s="34">
        <f t="shared" si="4"/>
        <v>1</v>
      </c>
      <c r="I80" s="42"/>
      <c r="J80" s="38"/>
      <c r="K80" s="38"/>
      <c r="L80" s="39"/>
      <c r="M80" s="39"/>
      <c r="N80" s="1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40"/>
      <c r="AE80" s="40"/>
    </row>
    <row r="81" spans="1:31" ht="15" customHeight="1" x14ac:dyDescent="0.25">
      <c r="A81" s="2"/>
      <c r="B81" s="1"/>
      <c r="C81" s="22">
        <v>21</v>
      </c>
      <c r="D81" s="34">
        <f t="shared" si="3"/>
        <v>0.21</v>
      </c>
      <c r="E81" s="30">
        <f t="shared" si="0"/>
        <v>0</v>
      </c>
      <c r="F81" s="31">
        <f t="shared" si="1"/>
        <v>1</v>
      </c>
      <c r="G81" s="32">
        <f t="shared" si="2"/>
        <v>0</v>
      </c>
      <c r="H81" s="34">
        <f t="shared" si="4"/>
        <v>1</v>
      </c>
      <c r="I81" s="42"/>
      <c r="J81" s="38"/>
      <c r="K81" s="38"/>
      <c r="L81" s="39"/>
      <c r="M81" s="39"/>
      <c r="N81" s="1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40"/>
      <c r="AE81" s="40"/>
    </row>
    <row r="82" spans="1:31" ht="15" customHeight="1" x14ac:dyDescent="0.25">
      <c r="A82" s="2"/>
      <c r="B82" s="1"/>
      <c r="C82" s="22">
        <v>22</v>
      </c>
      <c r="D82" s="34">
        <f t="shared" si="3"/>
        <v>0.22</v>
      </c>
      <c r="E82" s="30">
        <f t="shared" si="0"/>
        <v>0</v>
      </c>
      <c r="F82" s="31">
        <f t="shared" si="1"/>
        <v>1</v>
      </c>
      <c r="G82" s="32">
        <f t="shared" si="2"/>
        <v>0</v>
      </c>
      <c r="H82" s="34">
        <f t="shared" si="4"/>
        <v>1</v>
      </c>
      <c r="I82" s="42"/>
      <c r="J82" s="38"/>
      <c r="K82" s="38"/>
      <c r="L82" s="39"/>
      <c r="M82" s="39"/>
      <c r="N82" s="1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40"/>
      <c r="AE82" s="40"/>
    </row>
    <row r="83" spans="1:31" ht="15" customHeight="1" x14ac:dyDescent="0.25">
      <c r="A83" s="2"/>
      <c r="B83" s="1"/>
      <c r="C83" s="22">
        <v>23</v>
      </c>
      <c r="D83" s="34">
        <f t="shared" si="3"/>
        <v>0.23</v>
      </c>
      <c r="E83" s="30">
        <f t="shared" si="0"/>
        <v>0</v>
      </c>
      <c r="F83" s="31">
        <f t="shared" si="1"/>
        <v>1</v>
      </c>
      <c r="G83" s="32">
        <f t="shared" si="2"/>
        <v>0</v>
      </c>
      <c r="H83" s="34">
        <f t="shared" si="4"/>
        <v>1</v>
      </c>
      <c r="I83" s="42"/>
      <c r="J83" s="38"/>
      <c r="K83" s="38"/>
      <c r="L83" s="39"/>
      <c r="M83" s="39"/>
      <c r="N83" s="1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40"/>
      <c r="AE83" s="40"/>
    </row>
    <row r="84" spans="1:31" ht="15" customHeight="1" x14ac:dyDescent="0.25">
      <c r="A84" s="2"/>
      <c r="B84" s="1"/>
      <c r="C84" s="22">
        <v>24</v>
      </c>
      <c r="D84" s="34">
        <f t="shared" si="3"/>
        <v>0.24</v>
      </c>
      <c r="E84" s="30">
        <f t="shared" si="0"/>
        <v>0</v>
      </c>
      <c r="F84" s="31">
        <f t="shared" si="1"/>
        <v>1</v>
      </c>
      <c r="G84" s="32">
        <f t="shared" si="2"/>
        <v>0</v>
      </c>
      <c r="H84" s="34">
        <f t="shared" si="4"/>
        <v>1</v>
      </c>
      <c r="I84" s="42"/>
      <c r="J84" s="38"/>
      <c r="K84" s="38"/>
      <c r="L84" s="39"/>
      <c r="M84" s="39"/>
      <c r="N84" s="1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40"/>
      <c r="AE84" s="40"/>
    </row>
    <row r="85" spans="1:31" ht="15" customHeight="1" x14ac:dyDescent="0.25">
      <c r="A85" s="2"/>
      <c r="B85" s="1"/>
      <c r="C85" s="22">
        <v>25</v>
      </c>
      <c r="D85" s="34">
        <f t="shared" si="3"/>
        <v>0.25</v>
      </c>
      <c r="E85" s="30">
        <f t="shared" si="0"/>
        <v>0</v>
      </c>
      <c r="F85" s="31">
        <f t="shared" si="1"/>
        <v>1</v>
      </c>
      <c r="G85" s="32">
        <f t="shared" si="2"/>
        <v>0</v>
      </c>
      <c r="H85" s="34">
        <f t="shared" si="4"/>
        <v>1</v>
      </c>
      <c r="I85" s="42"/>
      <c r="J85" s="38"/>
      <c r="K85" s="38"/>
      <c r="L85" s="39"/>
      <c r="M85" s="39"/>
      <c r="N85" s="1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40"/>
      <c r="AE85" s="40"/>
    </row>
    <row r="86" spans="1:31" ht="15" customHeight="1" x14ac:dyDescent="0.25">
      <c r="A86" s="2"/>
      <c r="B86" s="1"/>
      <c r="C86" s="22">
        <v>26</v>
      </c>
      <c r="D86" s="34">
        <f t="shared" si="3"/>
        <v>0.26</v>
      </c>
      <c r="E86" s="30">
        <f t="shared" si="0"/>
        <v>0</v>
      </c>
      <c r="F86" s="31">
        <f t="shared" si="1"/>
        <v>1</v>
      </c>
      <c r="G86" s="32">
        <f t="shared" si="2"/>
        <v>0</v>
      </c>
      <c r="H86" s="34">
        <f t="shared" si="4"/>
        <v>1</v>
      </c>
      <c r="I86" s="42"/>
      <c r="J86" s="38"/>
      <c r="K86" s="38"/>
      <c r="L86" s="39"/>
      <c r="M86" s="39"/>
      <c r="N86" s="1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40"/>
      <c r="AE86" s="40"/>
    </row>
    <row r="87" spans="1:31" ht="15.75" customHeight="1" x14ac:dyDescent="0.25">
      <c r="A87" s="2"/>
      <c r="B87" s="1"/>
      <c r="C87" s="22">
        <v>27</v>
      </c>
      <c r="D87" s="34">
        <f t="shared" si="3"/>
        <v>0.27</v>
      </c>
      <c r="E87" s="30">
        <f t="shared" si="0"/>
        <v>0</v>
      </c>
      <c r="F87" s="31">
        <f t="shared" si="1"/>
        <v>1</v>
      </c>
      <c r="G87" s="32">
        <f t="shared" si="2"/>
        <v>0</v>
      </c>
      <c r="H87" s="34">
        <f t="shared" si="4"/>
        <v>1</v>
      </c>
      <c r="I87" s="42"/>
      <c r="J87" s="38"/>
      <c r="K87" s="38"/>
      <c r="L87" s="1"/>
      <c r="M87" s="1"/>
      <c r="N87" s="1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40"/>
      <c r="AE87" s="40"/>
    </row>
    <row r="88" spans="1:31" ht="15" customHeight="1" x14ac:dyDescent="0.25">
      <c r="A88" s="2"/>
      <c r="B88" s="1"/>
      <c r="C88" s="22">
        <v>28</v>
      </c>
      <c r="D88" s="34">
        <f t="shared" si="3"/>
        <v>0.28000000000000003</v>
      </c>
      <c r="E88" s="30">
        <f t="shared" si="0"/>
        <v>0</v>
      </c>
      <c r="F88" s="31">
        <f t="shared" si="1"/>
        <v>1</v>
      </c>
      <c r="G88" s="32">
        <f t="shared" si="2"/>
        <v>0</v>
      </c>
      <c r="H88" s="34">
        <f t="shared" si="4"/>
        <v>1</v>
      </c>
      <c r="I88" s="42"/>
      <c r="J88" s="38"/>
      <c r="K88" s="38"/>
      <c r="L88" s="1"/>
      <c r="M88" s="1"/>
      <c r="N88" s="1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40"/>
      <c r="AE88" s="40"/>
    </row>
    <row r="89" spans="1:31" ht="15" customHeight="1" x14ac:dyDescent="0.25">
      <c r="A89" s="2"/>
      <c r="B89" s="1"/>
      <c r="C89" s="22">
        <v>29</v>
      </c>
      <c r="D89" s="34">
        <f t="shared" si="3"/>
        <v>0.28999999999999998</v>
      </c>
      <c r="E89" s="30">
        <f t="shared" si="0"/>
        <v>0</v>
      </c>
      <c r="F89" s="31">
        <f t="shared" si="1"/>
        <v>1</v>
      </c>
      <c r="G89" s="32">
        <f t="shared" si="2"/>
        <v>0</v>
      </c>
      <c r="H89" s="34">
        <f t="shared" si="4"/>
        <v>1</v>
      </c>
      <c r="I89" s="42"/>
      <c r="J89" s="38"/>
      <c r="K89" s="38"/>
      <c r="L89" s="1"/>
      <c r="M89" s="1"/>
      <c r="N89" s="1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40"/>
      <c r="AE89" s="40"/>
    </row>
    <row r="90" spans="1:31" ht="15" customHeight="1" x14ac:dyDescent="0.25">
      <c r="A90" s="2"/>
      <c r="B90" s="1"/>
      <c r="C90" s="22">
        <v>30</v>
      </c>
      <c r="D90" s="34">
        <f t="shared" si="3"/>
        <v>0.3</v>
      </c>
      <c r="E90" s="30">
        <f t="shared" si="0"/>
        <v>0</v>
      </c>
      <c r="F90" s="31">
        <f t="shared" si="1"/>
        <v>1</v>
      </c>
      <c r="G90" s="32">
        <f t="shared" si="2"/>
        <v>0</v>
      </c>
      <c r="H90" s="34">
        <f t="shared" si="4"/>
        <v>1</v>
      </c>
      <c r="I90" s="42"/>
      <c r="J90" s="38"/>
      <c r="K90" s="38"/>
      <c r="L90" s="1"/>
      <c r="M90" s="1"/>
      <c r="N90" s="1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40"/>
      <c r="AE90" s="40"/>
    </row>
    <row r="91" spans="1:31" ht="15" customHeight="1" x14ac:dyDescent="0.25">
      <c r="A91" s="2"/>
      <c r="B91" s="1"/>
      <c r="C91" s="22">
        <v>31</v>
      </c>
      <c r="D91" s="34">
        <f t="shared" si="3"/>
        <v>0.31</v>
      </c>
      <c r="E91" s="30">
        <f t="shared" si="0"/>
        <v>0</v>
      </c>
      <c r="F91" s="31">
        <f t="shared" si="1"/>
        <v>1</v>
      </c>
      <c r="G91" s="32">
        <f t="shared" si="2"/>
        <v>0</v>
      </c>
      <c r="H91" s="34">
        <f t="shared" si="4"/>
        <v>1</v>
      </c>
      <c r="I91" s="42"/>
      <c r="J91" s="38"/>
      <c r="K91" s="38"/>
      <c r="L91" s="1"/>
      <c r="M91" s="1"/>
      <c r="N91" s="1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40"/>
      <c r="AE91" s="40"/>
    </row>
    <row r="92" spans="1:31" ht="15" customHeight="1" x14ac:dyDescent="0.25">
      <c r="A92" s="2"/>
      <c r="B92" s="1"/>
      <c r="C92" s="22">
        <v>32</v>
      </c>
      <c r="D92" s="34">
        <f t="shared" si="3"/>
        <v>0.32</v>
      </c>
      <c r="E92" s="30">
        <f t="shared" si="0"/>
        <v>0</v>
      </c>
      <c r="F92" s="31">
        <f t="shared" si="1"/>
        <v>1</v>
      </c>
      <c r="G92" s="32">
        <f t="shared" si="2"/>
        <v>0</v>
      </c>
      <c r="H92" s="34">
        <f t="shared" si="4"/>
        <v>1</v>
      </c>
      <c r="I92" s="42"/>
      <c r="J92" s="38"/>
      <c r="K92" s="38"/>
      <c r="L92" s="1"/>
      <c r="M92" s="1"/>
      <c r="N92" s="1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40"/>
      <c r="AE92" s="40"/>
    </row>
    <row r="93" spans="1:31" ht="15" customHeight="1" x14ac:dyDescent="0.25">
      <c r="A93" s="2"/>
      <c r="B93" s="1"/>
      <c r="C93" s="22">
        <v>33</v>
      </c>
      <c r="D93" s="34">
        <f t="shared" si="3"/>
        <v>0.33</v>
      </c>
      <c r="E93" s="30">
        <f t="shared" si="0"/>
        <v>0</v>
      </c>
      <c r="F93" s="31">
        <f t="shared" si="1"/>
        <v>1</v>
      </c>
      <c r="G93" s="32">
        <f t="shared" si="2"/>
        <v>0</v>
      </c>
      <c r="H93" s="34">
        <f t="shared" si="4"/>
        <v>1</v>
      </c>
      <c r="I93" s="42"/>
      <c r="J93" s="38"/>
      <c r="K93" s="38"/>
      <c r="L93" s="1"/>
      <c r="M93" s="1"/>
      <c r="N93" s="1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40"/>
      <c r="AE93" s="40"/>
    </row>
    <row r="94" spans="1:31" ht="15" customHeight="1" x14ac:dyDescent="0.25">
      <c r="A94" s="2"/>
      <c r="B94" s="1"/>
      <c r="C94" s="22">
        <v>34</v>
      </c>
      <c r="D94" s="34">
        <f t="shared" si="3"/>
        <v>0.34</v>
      </c>
      <c r="E94" s="30">
        <f t="shared" si="0"/>
        <v>0</v>
      </c>
      <c r="F94" s="31">
        <f t="shared" si="1"/>
        <v>1</v>
      </c>
      <c r="G94" s="32">
        <f t="shared" si="2"/>
        <v>0</v>
      </c>
      <c r="H94" s="34">
        <f t="shared" si="4"/>
        <v>1</v>
      </c>
      <c r="I94" s="42"/>
      <c r="J94" s="38"/>
      <c r="K94" s="38"/>
      <c r="L94" s="1"/>
      <c r="M94" s="1"/>
      <c r="N94" s="1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40"/>
      <c r="AE94" s="40"/>
    </row>
    <row r="95" spans="1:31" ht="15" customHeight="1" x14ac:dyDescent="0.25">
      <c r="A95" s="2"/>
      <c r="B95" s="1"/>
      <c r="C95" s="22">
        <v>35</v>
      </c>
      <c r="D95" s="34">
        <f t="shared" si="3"/>
        <v>0.35000000000000003</v>
      </c>
      <c r="E95" s="30">
        <f t="shared" si="0"/>
        <v>0</v>
      </c>
      <c r="F95" s="31">
        <f t="shared" si="1"/>
        <v>1</v>
      </c>
      <c r="G95" s="32">
        <f t="shared" si="2"/>
        <v>0</v>
      </c>
      <c r="H95" s="34">
        <f t="shared" si="4"/>
        <v>1</v>
      </c>
      <c r="I95" s="42"/>
      <c r="J95" s="38"/>
      <c r="K95" s="38"/>
      <c r="L95" s="1"/>
      <c r="M95" s="1"/>
      <c r="N95" s="1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40"/>
      <c r="AE95" s="40"/>
    </row>
    <row r="96" spans="1:31" ht="15" customHeight="1" x14ac:dyDescent="0.25">
      <c r="A96" s="2"/>
      <c r="B96" s="1"/>
      <c r="C96" s="22">
        <v>36</v>
      </c>
      <c r="D96" s="34">
        <f t="shared" si="3"/>
        <v>0.36</v>
      </c>
      <c r="E96" s="30">
        <f t="shared" si="0"/>
        <v>0</v>
      </c>
      <c r="F96" s="31">
        <f t="shared" si="1"/>
        <v>1</v>
      </c>
      <c r="G96" s="32">
        <f t="shared" si="2"/>
        <v>0</v>
      </c>
      <c r="H96" s="34">
        <f t="shared" si="4"/>
        <v>1</v>
      </c>
      <c r="I96" s="42"/>
      <c r="J96" s="38"/>
      <c r="K96" s="38"/>
      <c r="L96" s="1"/>
      <c r="M96" s="1"/>
      <c r="N96" s="1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40"/>
      <c r="AE96" s="40"/>
    </row>
    <row r="97" spans="1:31" ht="15" customHeight="1" x14ac:dyDescent="0.25">
      <c r="A97" s="2"/>
      <c r="B97" s="1"/>
      <c r="C97" s="22">
        <v>37</v>
      </c>
      <c r="D97" s="34">
        <f t="shared" si="3"/>
        <v>0.37</v>
      </c>
      <c r="E97" s="30">
        <f t="shared" si="0"/>
        <v>0</v>
      </c>
      <c r="F97" s="31">
        <f t="shared" si="1"/>
        <v>1</v>
      </c>
      <c r="G97" s="32">
        <f t="shared" si="2"/>
        <v>0</v>
      </c>
      <c r="H97" s="34">
        <f t="shared" si="4"/>
        <v>1</v>
      </c>
      <c r="I97" s="42"/>
      <c r="J97" s="38"/>
      <c r="K97" s="38"/>
      <c r="L97" s="1"/>
      <c r="M97" s="1"/>
      <c r="N97" s="1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40"/>
      <c r="AE97" s="40"/>
    </row>
    <row r="98" spans="1:31" ht="15" customHeight="1" x14ac:dyDescent="0.25">
      <c r="A98" s="2"/>
      <c r="B98" s="1"/>
      <c r="C98" s="22">
        <v>38</v>
      </c>
      <c r="D98" s="34">
        <f t="shared" si="3"/>
        <v>0.38</v>
      </c>
      <c r="E98" s="30">
        <f t="shared" si="0"/>
        <v>0</v>
      </c>
      <c r="F98" s="31">
        <f t="shared" si="1"/>
        <v>1</v>
      </c>
      <c r="G98" s="32">
        <f t="shared" si="2"/>
        <v>0</v>
      </c>
      <c r="H98" s="34">
        <f t="shared" si="4"/>
        <v>1</v>
      </c>
      <c r="I98" s="42"/>
      <c r="J98" s="38"/>
      <c r="K98" s="38"/>
      <c r="L98" s="1"/>
      <c r="M98" s="1"/>
      <c r="N98" s="1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40"/>
      <c r="AE98" s="40"/>
    </row>
    <row r="99" spans="1:31" ht="15.75" customHeight="1" x14ac:dyDescent="0.25">
      <c r="A99" s="2"/>
      <c r="B99" s="1"/>
      <c r="C99" s="22">
        <v>39</v>
      </c>
      <c r="D99" s="34">
        <f t="shared" si="3"/>
        <v>0.39</v>
      </c>
      <c r="E99" s="30">
        <f t="shared" si="0"/>
        <v>0</v>
      </c>
      <c r="F99" s="31">
        <f t="shared" si="1"/>
        <v>1</v>
      </c>
      <c r="G99" s="32">
        <f t="shared" si="2"/>
        <v>0</v>
      </c>
      <c r="H99" s="34">
        <f t="shared" si="4"/>
        <v>1</v>
      </c>
      <c r="I99" s="42"/>
      <c r="J99" s="38"/>
      <c r="K99" s="38"/>
      <c r="L99" s="1"/>
      <c r="M99" s="1"/>
      <c r="N99" s="1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40"/>
      <c r="AE99" s="40"/>
    </row>
    <row r="100" spans="1:31" ht="15" customHeight="1" x14ac:dyDescent="0.25">
      <c r="A100" s="2"/>
      <c r="B100" s="1"/>
      <c r="C100" s="22">
        <v>40</v>
      </c>
      <c r="D100" s="34">
        <f t="shared" si="3"/>
        <v>0.4</v>
      </c>
      <c r="E100" s="30">
        <f t="shared" si="0"/>
        <v>0</v>
      </c>
      <c r="F100" s="31">
        <f t="shared" si="1"/>
        <v>1</v>
      </c>
      <c r="G100" s="32">
        <f t="shared" si="2"/>
        <v>0</v>
      </c>
      <c r="H100" s="34">
        <f t="shared" si="4"/>
        <v>1</v>
      </c>
      <c r="I100" s="42"/>
      <c r="J100" s="38"/>
      <c r="K100" s="38"/>
      <c r="L100" s="1"/>
      <c r="M100" s="1"/>
      <c r="N100" s="1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40"/>
      <c r="AE100" s="40"/>
    </row>
    <row r="101" spans="1:31" ht="15" customHeight="1" x14ac:dyDescent="0.25">
      <c r="A101" s="2"/>
      <c r="B101" s="1"/>
      <c r="C101" s="22">
        <v>41</v>
      </c>
      <c r="D101" s="34">
        <f t="shared" si="3"/>
        <v>0.41000000000000003</v>
      </c>
      <c r="E101" s="30">
        <f t="shared" si="0"/>
        <v>0</v>
      </c>
      <c r="F101" s="31">
        <f t="shared" si="1"/>
        <v>1</v>
      </c>
      <c r="G101" s="32">
        <f t="shared" si="2"/>
        <v>0</v>
      </c>
      <c r="H101" s="34">
        <f t="shared" si="4"/>
        <v>1</v>
      </c>
      <c r="I101" s="42"/>
      <c r="J101" s="38"/>
      <c r="K101" s="38"/>
      <c r="L101" s="1"/>
      <c r="M101" s="1"/>
      <c r="N101" s="1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40"/>
      <c r="AE101" s="40"/>
    </row>
    <row r="102" spans="1:31" ht="15" customHeight="1" x14ac:dyDescent="0.25">
      <c r="A102" s="2"/>
      <c r="B102" s="1"/>
      <c r="C102" s="22">
        <v>42</v>
      </c>
      <c r="D102" s="34">
        <f t="shared" si="3"/>
        <v>0.42</v>
      </c>
      <c r="E102" s="30">
        <f t="shared" si="0"/>
        <v>0</v>
      </c>
      <c r="F102" s="31">
        <f t="shared" si="1"/>
        <v>1</v>
      </c>
      <c r="G102" s="32">
        <f t="shared" si="2"/>
        <v>0</v>
      </c>
      <c r="H102" s="34">
        <f t="shared" si="4"/>
        <v>1</v>
      </c>
      <c r="I102" s="42"/>
      <c r="J102" s="38"/>
      <c r="K102" s="38"/>
      <c r="L102" s="1"/>
      <c r="M102" s="1"/>
      <c r="N102" s="1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40"/>
      <c r="AE102" s="40"/>
    </row>
    <row r="103" spans="1:31" ht="15" customHeight="1" x14ac:dyDescent="0.25">
      <c r="A103" s="2"/>
      <c r="B103" s="1"/>
      <c r="C103" s="22">
        <v>43</v>
      </c>
      <c r="D103" s="34">
        <f t="shared" si="3"/>
        <v>0.43</v>
      </c>
      <c r="E103" s="30">
        <f t="shared" si="0"/>
        <v>0</v>
      </c>
      <c r="F103" s="31">
        <f t="shared" si="1"/>
        <v>1</v>
      </c>
      <c r="G103" s="32">
        <f t="shared" si="2"/>
        <v>0</v>
      </c>
      <c r="H103" s="34">
        <f t="shared" si="4"/>
        <v>1</v>
      </c>
      <c r="I103" s="42"/>
      <c r="J103" s="38"/>
      <c r="K103" s="38"/>
      <c r="L103" s="1"/>
      <c r="M103" s="1"/>
      <c r="N103" s="1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40"/>
      <c r="AE103" s="40"/>
    </row>
    <row r="104" spans="1:31" ht="15" customHeight="1" x14ac:dyDescent="0.25">
      <c r="A104" s="2"/>
      <c r="B104" s="1"/>
      <c r="C104" s="22">
        <v>44</v>
      </c>
      <c r="D104" s="34">
        <f t="shared" si="3"/>
        <v>0.44</v>
      </c>
      <c r="E104" s="30">
        <f t="shared" si="0"/>
        <v>0</v>
      </c>
      <c r="F104" s="31">
        <f t="shared" si="1"/>
        <v>1</v>
      </c>
      <c r="G104" s="32">
        <f t="shared" si="2"/>
        <v>0</v>
      </c>
      <c r="H104" s="34">
        <f t="shared" si="4"/>
        <v>1</v>
      </c>
      <c r="I104" s="42"/>
      <c r="J104" s="38"/>
      <c r="K104" s="38"/>
      <c r="L104" s="1"/>
      <c r="M104" s="1"/>
      <c r="N104" s="1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40"/>
      <c r="AE104" s="40"/>
    </row>
    <row r="105" spans="1:31" ht="15" customHeight="1" x14ac:dyDescent="0.25">
      <c r="A105" s="2"/>
      <c r="B105" s="1"/>
      <c r="C105" s="22">
        <v>45</v>
      </c>
      <c r="D105" s="34">
        <f t="shared" si="3"/>
        <v>0.45</v>
      </c>
      <c r="E105" s="30">
        <f t="shared" si="0"/>
        <v>0</v>
      </c>
      <c r="F105" s="31">
        <f t="shared" si="1"/>
        <v>1</v>
      </c>
      <c r="G105" s="32">
        <f t="shared" si="2"/>
        <v>0</v>
      </c>
      <c r="H105" s="34">
        <f t="shared" si="4"/>
        <v>1</v>
      </c>
      <c r="I105" s="42"/>
      <c r="J105" s="38"/>
      <c r="K105" s="38"/>
      <c r="L105" s="1"/>
      <c r="M105" s="1"/>
      <c r="N105" s="1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40"/>
      <c r="AE105" s="40"/>
    </row>
    <row r="106" spans="1:31" ht="15" customHeight="1" x14ac:dyDescent="0.25">
      <c r="A106" s="2"/>
      <c r="B106" s="1"/>
      <c r="C106" s="22">
        <v>46</v>
      </c>
      <c r="D106" s="34">
        <f t="shared" si="3"/>
        <v>0.46</v>
      </c>
      <c r="E106" s="30">
        <f t="shared" si="0"/>
        <v>0</v>
      </c>
      <c r="F106" s="31">
        <f t="shared" si="1"/>
        <v>1</v>
      </c>
      <c r="G106" s="32">
        <f t="shared" si="2"/>
        <v>0</v>
      </c>
      <c r="H106" s="34">
        <f t="shared" si="4"/>
        <v>1</v>
      </c>
      <c r="I106" s="42"/>
      <c r="J106" s="38"/>
      <c r="K106" s="38"/>
      <c r="L106" s="1"/>
      <c r="M106" s="1"/>
      <c r="N106" s="1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40"/>
      <c r="AE106" s="40"/>
    </row>
    <row r="107" spans="1:31" ht="15" customHeight="1" x14ac:dyDescent="0.25">
      <c r="A107" s="2"/>
      <c r="B107" s="1"/>
      <c r="C107" s="22">
        <v>47</v>
      </c>
      <c r="D107" s="34">
        <f t="shared" si="3"/>
        <v>0.47000000000000003</v>
      </c>
      <c r="E107" s="30">
        <f t="shared" si="0"/>
        <v>0</v>
      </c>
      <c r="F107" s="31">
        <f t="shared" si="1"/>
        <v>1</v>
      </c>
      <c r="G107" s="32">
        <f t="shared" si="2"/>
        <v>0</v>
      </c>
      <c r="H107" s="34">
        <f t="shared" si="4"/>
        <v>1</v>
      </c>
      <c r="I107" s="42"/>
      <c r="J107" s="38"/>
      <c r="K107" s="38"/>
      <c r="L107" s="1"/>
      <c r="M107" s="1"/>
      <c r="N107" s="1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40"/>
      <c r="AE107" s="40"/>
    </row>
    <row r="108" spans="1:31" ht="15" customHeight="1" x14ac:dyDescent="0.25">
      <c r="A108" s="2"/>
      <c r="B108" s="1"/>
      <c r="C108" s="22">
        <v>48</v>
      </c>
      <c r="D108" s="34">
        <f t="shared" si="3"/>
        <v>0.48</v>
      </c>
      <c r="E108" s="30">
        <f t="shared" si="0"/>
        <v>0</v>
      </c>
      <c r="F108" s="31">
        <f t="shared" si="1"/>
        <v>1</v>
      </c>
      <c r="G108" s="32">
        <f t="shared" si="2"/>
        <v>0</v>
      </c>
      <c r="H108" s="34">
        <f t="shared" si="4"/>
        <v>1</v>
      </c>
      <c r="I108" s="42"/>
      <c r="J108" s="38"/>
      <c r="K108" s="38"/>
      <c r="L108" s="1"/>
      <c r="M108" s="1"/>
      <c r="N108" s="1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40"/>
      <c r="AE108" s="40"/>
    </row>
    <row r="109" spans="1:31" ht="15" customHeight="1" x14ac:dyDescent="0.25">
      <c r="A109" s="2"/>
      <c r="B109" s="1"/>
      <c r="C109" s="22">
        <v>49</v>
      </c>
      <c r="D109" s="34">
        <f t="shared" si="3"/>
        <v>0.49</v>
      </c>
      <c r="E109" s="30">
        <f t="shared" si="0"/>
        <v>0</v>
      </c>
      <c r="F109" s="31">
        <f t="shared" si="1"/>
        <v>1</v>
      </c>
      <c r="G109" s="32">
        <f t="shared" si="2"/>
        <v>0</v>
      </c>
      <c r="H109" s="34">
        <f t="shared" si="4"/>
        <v>1</v>
      </c>
      <c r="I109" s="42"/>
      <c r="J109" s="38"/>
      <c r="K109" s="38"/>
      <c r="L109" s="1"/>
      <c r="M109" s="1"/>
      <c r="N109" s="1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40"/>
      <c r="AE109" s="40"/>
    </row>
    <row r="110" spans="1:31" ht="15" customHeight="1" x14ac:dyDescent="0.25">
      <c r="A110" s="2"/>
      <c r="B110" s="1"/>
      <c r="C110" s="22">
        <v>50</v>
      </c>
      <c r="D110" s="34">
        <f t="shared" si="3"/>
        <v>0.5</v>
      </c>
      <c r="E110" s="30">
        <f t="shared" si="0"/>
        <v>0</v>
      </c>
      <c r="F110" s="31">
        <f t="shared" si="1"/>
        <v>1</v>
      </c>
      <c r="G110" s="32">
        <f t="shared" si="2"/>
        <v>0</v>
      </c>
      <c r="H110" s="34">
        <f t="shared" si="4"/>
        <v>1</v>
      </c>
      <c r="I110" s="42"/>
      <c r="J110" s="38"/>
      <c r="K110" s="38"/>
      <c r="L110" s="1"/>
      <c r="M110" s="1"/>
      <c r="N110" s="1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40"/>
      <c r="AE110" s="40"/>
    </row>
    <row r="111" spans="1:31" ht="15.75" customHeight="1" x14ac:dyDescent="0.25">
      <c r="A111" s="2"/>
      <c r="B111" s="1"/>
      <c r="C111" s="22">
        <v>51</v>
      </c>
      <c r="D111" s="34">
        <f t="shared" si="3"/>
        <v>0.51</v>
      </c>
      <c r="E111" s="30">
        <f t="shared" si="0"/>
        <v>0</v>
      </c>
      <c r="F111" s="31">
        <f t="shared" si="1"/>
        <v>1</v>
      </c>
      <c r="G111" s="32">
        <f t="shared" si="2"/>
        <v>0</v>
      </c>
      <c r="H111" s="34">
        <f t="shared" si="4"/>
        <v>1</v>
      </c>
      <c r="I111" s="42"/>
      <c r="J111" s="38"/>
      <c r="K111" s="38"/>
      <c r="L111" s="1"/>
      <c r="M111" s="1"/>
      <c r="N111" s="1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40"/>
      <c r="AE111" s="40"/>
    </row>
    <row r="112" spans="1:31" ht="15" customHeight="1" x14ac:dyDescent="0.25">
      <c r="A112" s="2"/>
      <c r="B112" s="1"/>
      <c r="C112" s="22">
        <v>52</v>
      </c>
      <c r="D112" s="34">
        <f t="shared" si="3"/>
        <v>0.52</v>
      </c>
      <c r="E112" s="30">
        <f t="shared" si="0"/>
        <v>0</v>
      </c>
      <c r="F112" s="31">
        <f t="shared" si="1"/>
        <v>1</v>
      </c>
      <c r="G112" s="32">
        <f t="shared" si="2"/>
        <v>0</v>
      </c>
      <c r="H112" s="34">
        <f t="shared" si="4"/>
        <v>1</v>
      </c>
      <c r="I112" s="42"/>
      <c r="J112" s="38"/>
      <c r="K112" s="38"/>
      <c r="L112" s="1"/>
      <c r="M112" s="1"/>
      <c r="N112" s="1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40"/>
      <c r="AE112" s="40"/>
    </row>
    <row r="113" spans="1:31" ht="15" customHeight="1" x14ac:dyDescent="0.25">
      <c r="A113" s="2"/>
      <c r="B113" s="1"/>
      <c r="C113" s="22">
        <v>53</v>
      </c>
      <c r="D113" s="34">
        <f t="shared" si="3"/>
        <v>0.53</v>
      </c>
      <c r="E113" s="30">
        <f t="shared" si="0"/>
        <v>0</v>
      </c>
      <c r="F113" s="31">
        <f t="shared" si="1"/>
        <v>1</v>
      </c>
      <c r="G113" s="32">
        <f t="shared" si="2"/>
        <v>0</v>
      </c>
      <c r="H113" s="34">
        <f t="shared" si="4"/>
        <v>1</v>
      </c>
      <c r="I113" s="42"/>
      <c r="J113" s="38"/>
      <c r="K113" s="38"/>
      <c r="L113" s="1"/>
      <c r="M113" s="1"/>
      <c r="N113" s="1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40"/>
      <c r="AE113" s="40"/>
    </row>
    <row r="114" spans="1:31" ht="15" customHeight="1" x14ac:dyDescent="0.25">
      <c r="A114" s="2"/>
      <c r="B114" s="1"/>
      <c r="C114" s="22">
        <v>54</v>
      </c>
      <c r="D114" s="34">
        <f t="shared" si="3"/>
        <v>0.54</v>
      </c>
      <c r="E114" s="30">
        <f t="shared" si="0"/>
        <v>0</v>
      </c>
      <c r="F114" s="31">
        <f t="shared" si="1"/>
        <v>1</v>
      </c>
      <c r="G114" s="32">
        <f t="shared" si="2"/>
        <v>0</v>
      </c>
      <c r="H114" s="34">
        <f t="shared" si="4"/>
        <v>1</v>
      </c>
      <c r="I114" s="42"/>
      <c r="J114" s="38"/>
      <c r="K114" s="38"/>
      <c r="L114" s="1"/>
      <c r="M114" s="1"/>
      <c r="N114" s="1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40"/>
      <c r="AE114" s="40"/>
    </row>
    <row r="115" spans="1:31" ht="15" customHeight="1" x14ac:dyDescent="0.25">
      <c r="A115" s="2"/>
      <c r="B115" s="1"/>
      <c r="C115" s="22">
        <v>55</v>
      </c>
      <c r="D115" s="34">
        <f t="shared" si="3"/>
        <v>0.55000000000000004</v>
      </c>
      <c r="E115" s="30">
        <f t="shared" si="0"/>
        <v>0</v>
      </c>
      <c r="F115" s="31">
        <f t="shared" si="1"/>
        <v>1</v>
      </c>
      <c r="G115" s="32">
        <f t="shared" si="2"/>
        <v>0</v>
      </c>
      <c r="H115" s="34">
        <f t="shared" si="4"/>
        <v>1</v>
      </c>
      <c r="I115" s="42"/>
      <c r="J115" s="38"/>
      <c r="K115" s="38"/>
      <c r="L115" s="1"/>
      <c r="M115" s="1"/>
      <c r="N115" s="1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40"/>
      <c r="AE115" s="40"/>
    </row>
    <row r="116" spans="1:31" ht="15" customHeight="1" x14ac:dyDescent="0.25">
      <c r="A116" s="2"/>
      <c r="B116" s="1"/>
      <c r="C116" s="22">
        <v>56</v>
      </c>
      <c r="D116" s="34">
        <f t="shared" si="3"/>
        <v>0.56000000000000005</v>
      </c>
      <c r="E116" s="30">
        <f t="shared" si="0"/>
        <v>0</v>
      </c>
      <c r="F116" s="31">
        <f t="shared" si="1"/>
        <v>1</v>
      </c>
      <c r="G116" s="32">
        <f t="shared" si="2"/>
        <v>0</v>
      </c>
      <c r="H116" s="34">
        <f t="shared" si="4"/>
        <v>1</v>
      </c>
      <c r="I116" s="42"/>
      <c r="J116" s="38"/>
      <c r="K116" s="38"/>
      <c r="L116" s="1"/>
      <c r="M116" s="1"/>
      <c r="N116" s="1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40"/>
      <c r="AE116" s="40"/>
    </row>
    <row r="117" spans="1:31" ht="15" customHeight="1" x14ac:dyDescent="0.25">
      <c r="A117" s="2"/>
      <c r="B117" s="1"/>
      <c r="C117" s="22">
        <v>57</v>
      </c>
      <c r="D117" s="34">
        <f t="shared" si="3"/>
        <v>0.57000000000000006</v>
      </c>
      <c r="E117" s="30">
        <f t="shared" si="0"/>
        <v>0</v>
      </c>
      <c r="F117" s="31">
        <f t="shared" si="1"/>
        <v>1</v>
      </c>
      <c r="G117" s="32">
        <f t="shared" si="2"/>
        <v>0</v>
      </c>
      <c r="H117" s="34">
        <f t="shared" si="4"/>
        <v>1</v>
      </c>
      <c r="I117" s="42"/>
      <c r="J117" s="38"/>
      <c r="K117" s="38"/>
      <c r="L117" s="1"/>
      <c r="M117" s="1"/>
      <c r="N117" s="1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40"/>
      <c r="AE117" s="40"/>
    </row>
    <row r="118" spans="1:31" ht="15.75" customHeight="1" x14ac:dyDescent="0.25">
      <c r="A118" s="2"/>
      <c r="B118" s="1"/>
      <c r="C118" s="22">
        <v>58</v>
      </c>
      <c r="D118" s="34">
        <f t="shared" si="3"/>
        <v>0.57999999999999996</v>
      </c>
      <c r="E118" s="30">
        <f t="shared" si="0"/>
        <v>0</v>
      </c>
      <c r="F118" s="31">
        <f t="shared" si="1"/>
        <v>1</v>
      </c>
      <c r="G118" s="32">
        <f t="shared" si="2"/>
        <v>0</v>
      </c>
      <c r="H118" s="34">
        <f t="shared" si="4"/>
        <v>1</v>
      </c>
      <c r="I118" s="42"/>
      <c r="J118" s="38"/>
      <c r="K118" s="38"/>
      <c r="L118" s="1"/>
      <c r="M118" s="1"/>
      <c r="N118" s="1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40"/>
      <c r="AE118" s="40"/>
    </row>
    <row r="119" spans="1:31" ht="15" customHeight="1" x14ac:dyDescent="0.25">
      <c r="A119" s="2"/>
      <c r="B119" s="1"/>
      <c r="C119" s="22">
        <v>59</v>
      </c>
      <c r="D119" s="34">
        <f t="shared" si="3"/>
        <v>0.59</v>
      </c>
      <c r="E119" s="30">
        <f t="shared" si="0"/>
        <v>0</v>
      </c>
      <c r="F119" s="31">
        <f t="shared" si="1"/>
        <v>1</v>
      </c>
      <c r="G119" s="32">
        <f t="shared" si="2"/>
        <v>0</v>
      </c>
      <c r="H119" s="34">
        <f t="shared" si="4"/>
        <v>1</v>
      </c>
      <c r="I119" s="42"/>
      <c r="J119" s="38"/>
      <c r="K119" s="38"/>
      <c r="L119" s="1"/>
      <c r="M119" s="1"/>
      <c r="N119" s="1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40"/>
      <c r="AE119" s="40"/>
    </row>
    <row r="120" spans="1:31" ht="15" customHeight="1" x14ac:dyDescent="0.25">
      <c r="A120" s="2"/>
      <c r="B120" s="1"/>
      <c r="C120" s="22">
        <v>60</v>
      </c>
      <c r="D120" s="34">
        <f t="shared" si="3"/>
        <v>0.6</v>
      </c>
      <c r="E120" s="30">
        <f t="shared" si="0"/>
        <v>0</v>
      </c>
      <c r="F120" s="31">
        <f t="shared" si="1"/>
        <v>1</v>
      </c>
      <c r="G120" s="32">
        <f t="shared" si="2"/>
        <v>0</v>
      </c>
      <c r="H120" s="34">
        <f t="shared" si="4"/>
        <v>1</v>
      </c>
      <c r="I120" s="42"/>
      <c r="J120" s="38"/>
      <c r="K120" s="38"/>
      <c r="L120" s="1"/>
      <c r="M120" s="1"/>
      <c r="N120" s="1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40"/>
      <c r="AE120" s="40"/>
    </row>
    <row r="121" spans="1:31" ht="15" customHeight="1" x14ac:dyDescent="0.25">
      <c r="A121" s="2"/>
      <c r="B121" s="1"/>
      <c r="C121" s="22">
        <v>61</v>
      </c>
      <c r="D121" s="34">
        <f t="shared" si="3"/>
        <v>0.61</v>
      </c>
      <c r="E121" s="30">
        <f t="shared" si="0"/>
        <v>0</v>
      </c>
      <c r="F121" s="31">
        <f t="shared" si="1"/>
        <v>0</v>
      </c>
      <c r="G121" s="32">
        <f t="shared" si="2"/>
        <v>0.98360655737704894</v>
      </c>
      <c r="H121" s="34">
        <f t="shared" si="4"/>
        <v>0.98360655737704894</v>
      </c>
      <c r="I121" s="42"/>
      <c r="J121" s="38"/>
      <c r="K121" s="38"/>
      <c r="L121" s="1"/>
      <c r="M121" s="1"/>
      <c r="N121" s="1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40"/>
      <c r="AE121" s="40"/>
    </row>
    <row r="122" spans="1:31" ht="15" customHeight="1" x14ac:dyDescent="0.25">
      <c r="A122" s="2"/>
      <c r="B122" s="1"/>
      <c r="C122" s="22">
        <v>62</v>
      </c>
      <c r="D122" s="34">
        <f t="shared" si="3"/>
        <v>0.62</v>
      </c>
      <c r="E122" s="30">
        <f t="shared" si="0"/>
        <v>0</v>
      </c>
      <c r="F122" s="31">
        <f t="shared" si="1"/>
        <v>0</v>
      </c>
      <c r="G122" s="32">
        <f t="shared" si="2"/>
        <v>0.96774193548387077</v>
      </c>
      <c r="H122" s="34">
        <f t="shared" si="4"/>
        <v>0.96774193548387077</v>
      </c>
      <c r="I122" s="42"/>
      <c r="J122" s="38"/>
      <c r="K122" s="38"/>
      <c r="L122" s="1"/>
      <c r="M122" s="1"/>
      <c r="N122" s="1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40"/>
      <c r="AE122" s="40"/>
    </row>
    <row r="123" spans="1:31" ht="15" customHeight="1" x14ac:dyDescent="0.25">
      <c r="A123" s="2"/>
      <c r="B123" s="1"/>
      <c r="C123" s="22">
        <v>63</v>
      </c>
      <c r="D123" s="34">
        <f t="shared" si="3"/>
        <v>0.63</v>
      </c>
      <c r="E123" s="30">
        <f t="shared" si="0"/>
        <v>0</v>
      </c>
      <c r="F123" s="31">
        <f t="shared" si="1"/>
        <v>0</v>
      </c>
      <c r="G123" s="32">
        <f t="shared" si="2"/>
        <v>0.95238095238095222</v>
      </c>
      <c r="H123" s="34">
        <f t="shared" si="4"/>
        <v>0.95238095238095222</v>
      </c>
      <c r="I123" s="42"/>
      <c r="J123" s="38"/>
      <c r="K123" s="38"/>
      <c r="L123" s="1"/>
      <c r="M123" s="1"/>
      <c r="N123" s="1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40"/>
      <c r="AE123" s="40"/>
    </row>
    <row r="124" spans="1:31" ht="15" customHeight="1" x14ac:dyDescent="0.25">
      <c r="A124" s="2"/>
      <c r="B124" s="1"/>
      <c r="C124" s="22">
        <v>64</v>
      </c>
      <c r="D124" s="34">
        <f t="shared" si="3"/>
        <v>0.64</v>
      </c>
      <c r="E124" s="30">
        <f t="shared" ref="E124:E187" si="5">IF(D124&lt;$C$25,0.4+5*D124,0)</f>
        <v>0</v>
      </c>
      <c r="F124" s="31">
        <f t="shared" ref="F124:F187" si="6">IF(AND(D124&gt;=$C$25,D124&lt;=$C$26),$C$12,0)</f>
        <v>0</v>
      </c>
      <c r="G124" s="32">
        <f t="shared" ref="G124:G187" si="7">IF(D124&gt;$C$26,$C$13/D124,0)</f>
        <v>0.93749999999999978</v>
      </c>
      <c r="H124" s="34">
        <f t="shared" si="4"/>
        <v>0.93749999999999978</v>
      </c>
      <c r="I124" s="42"/>
      <c r="J124" s="38"/>
      <c r="K124" s="38"/>
      <c r="L124" s="1"/>
      <c r="M124" s="1"/>
      <c r="N124" s="1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40"/>
      <c r="AE124" s="40"/>
    </row>
    <row r="125" spans="1:31" ht="15" customHeight="1" x14ac:dyDescent="0.25">
      <c r="A125" s="2"/>
      <c r="B125" s="1"/>
      <c r="C125" s="22">
        <v>65</v>
      </c>
      <c r="D125" s="34">
        <f t="shared" ref="D125:D188" si="8">$D$55*C125</f>
        <v>0.65</v>
      </c>
      <c r="E125" s="30">
        <f t="shared" si="5"/>
        <v>0</v>
      </c>
      <c r="F125" s="31">
        <f t="shared" si="6"/>
        <v>0</v>
      </c>
      <c r="G125" s="32">
        <f t="shared" si="7"/>
        <v>0.9230769230769228</v>
      </c>
      <c r="H125" s="34">
        <f t="shared" ref="H125:H160" si="9">SUM(E125:G125)</f>
        <v>0.9230769230769228</v>
      </c>
      <c r="I125" s="42"/>
      <c r="J125" s="38"/>
      <c r="K125" s="38"/>
      <c r="L125" s="1"/>
      <c r="M125" s="1"/>
      <c r="N125" s="1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40"/>
      <c r="AE125" s="40"/>
    </row>
    <row r="126" spans="1:31" ht="15" customHeight="1" x14ac:dyDescent="0.25">
      <c r="A126" s="2"/>
      <c r="B126" s="1"/>
      <c r="C126" s="22">
        <v>66</v>
      </c>
      <c r="D126" s="34">
        <f t="shared" si="8"/>
        <v>0.66</v>
      </c>
      <c r="E126" s="30">
        <f t="shared" si="5"/>
        <v>0</v>
      </c>
      <c r="F126" s="31">
        <f t="shared" si="6"/>
        <v>0</v>
      </c>
      <c r="G126" s="32">
        <f t="shared" si="7"/>
        <v>0.90909090909090884</v>
      </c>
      <c r="H126" s="34">
        <f t="shared" si="9"/>
        <v>0.90909090909090884</v>
      </c>
      <c r="I126" s="42"/>
      <c r="J126" s="38"/>
      <c r="K126" s="38"/>
      <c r="L126" s="1"/>
      <c r="M126" s="1"/>
      <c r="N126" s="1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40"/>
      <c r="AE126" s="40"/>
    </row>
    <row r="127" spans="1:31" ht="15.75" customHeight="1" x14ac:dyDescent="0.25">
      <c r="A127" s="2"/>
      <c r="B127" s="1"/>
      <c r="C127" s="22">
        <v>67</v>
      </c>
      <c r="D127" s="34">
        <f t="shared" si="8"/>
        <v>0.67</v>
      </c>
      <c r="E127" s="30">
        <f t="shared" si="5"/>
        <v>0</v>
      </c>
      <c r="F127" s="31">
        <f t="shared" si="6"/>
        <v>0</v>
      </c>
      <c r="G127" s="32">
        <f t="shared" si="7"/>
        <v>0.89552238805970119</v>
      </c>
      <c r="H127" s="34">
        <f t="shared" si="9"/>
        <v>0.89552238805970119</v>
      </c>
      <c r="I127" s="42"/>
      <c r="J127" s="38"/>
      <c r="K127" s="38"/>
      <c r="L127" s="1"/>
      <c r="M127" s="1"/>
      <c r="N127" s="1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40"/>
      <c r="AE127" s="40"/>
    </row>
    <row r="128" spans="1:31" x14ac:dyDescent="0.25">
      <c r="A128" s="2"/>
      <c r="B128" s="1"/>
      <c r="C128" s="22">
        <v>68</v>
      </c>
      <c r="D128" s="34">
        <f t="shared" si="8"/>
        <v>0.68</v>
      </c>
      <c r="E128" s="30">
        <f t="shared" si="5"/>
        <v>0</v>
      </c>
      <c r="F128" s="31">
        <f t="shared" si="6"/>
        <v>0</v>
      </c>
      <c r="G128" s="32">
        <f t="shared" si="7"/>
        <v>0.88235294117647034</v>
      </c>
      <c r="H128" s="34">
        <f t="shared" si="9"/>
        <v>0.88235294117647034</v>
      </c>
      <c r="I128" s="42"/>
      <c r="J128" s="38"/>
      <c r="K128" s="38"/>
      <c r="L128" s="1"/>
      <c r="M128" s="1"/>
      <c r="N128" s="1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40"/>
      <c r="AE128" s="40"/>
    </row>
    <row r="129" spans="1:31" x14ac:dyDescent="0.25">
      <c r="A129" s="2"/>
      <c r="B129" s="1"/>
      <c r="C129" s="22">
        <v>69</v>
      </c>
      <c r="D129" s="34">
        <f t="shared" si="8"/>
        <v>0.69000000000000006</v>
      </c>
      <c r="E129" s="30">
        <f t="shared" si="5"/>
        <v>0</v>
      </c>
      <c r="F129" s="31">
        <f t="shared" si="6"/>
        <v>0</v>
      </c>
      <c r="G129" s="32">
        <f t="shared" si="7"/>
        <v>0.8695652173913041</v>
      </c>
      <c r="H129" s="34">
        <f t="shared" si="9"/>
        <v>0.8695652173913041</v>
      </c>
      <c r="I129" s="42"/>
      <c r="J129" s="38"/>
      <c r="K129" s="38"/>
      <c r="L129" s="1"/>
      <c r="M129" s="1"/>
      <c r="N129" s="1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40"/>
      <c r="AE129" s="40"/>
    </row>
    <row r="130" spans="1:31" x14ac:dyDescent="0.25">
      <c r="A130" s="2"/>
      <c r="B130" s="1"/>
      <c r="C130" s="22">
        <v>70</v>
      </c>
      <c r="D130" s="34">
        <f t="shared" si="8"/>
        <v>0.70000000000000007</v>
      </c>
      <c r="E130" s="30">
        <f t="shared" si="5"/>
        <v>0</v>
      </c>
      <c r="F130" s="31">
        <f t="shared" si="6"/>
        <v>0</v>
      </c>
      <c r="G130" s="32">
        <f t="shared" si="7"/>
        <v>0.85714285714285687</v>
      </c>
      <c r="H130" s="34">
        <f t="shared" si="9"/>
        <v>0.85714285714285687</v>
      </c>
      <c r="I130" s="42"/>
      <c r="J130" s="38"/>
      <c r="K130" s="38"/>
      <c r="L130" s="1"/>
      <c r="M130" s="1"/>
      <c r="N130" s="1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40"/>
      <c r="AE130" s="40"/>
    </row>
    <row r="131" spans="1:31" x14ac:dyDescent="0.25">
      <c r="A131" s="2"/>
      <c r="B131" s="1"/>
      <c r="C131" s="22">
        <v>71</v>
      </c>
      <c r="D131" s="34">
        <f t="shared" si="8"/>
        <v>0.71</v>
      </c>
      <c r="E131" s="30">
        <f t="shared" si="5"/>
        <v>0</v>
      </c>
      <c r="F131" s="31">
        <f t="shared" si="6"/>
        <v>0</v>
      </c>
      <c r="G131" s="32">
        <f t="shared" si="7"/>
        <v>0.84507042253521114</v>
      </c>
      <c r="H131" s="34">
        <f t="shared" si="9"/>
        <v>0.84507042253521114</v>
      </c>
      <c r="I131" s="42"/>
      <c r="J131" s="38"/>
      <c r="K131" s="38"/>
      <c r="L131" s="1"/>
      <c r="M131" s="1"/>
      <c r="N131" s="1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40"/>
      <c r="AE131" s="40"/>
    </row>
    <row r="132" spans="1:31" x14ac:dyDescent="0.25">
      <c r="A132" s="2"/>
      <c r="B132" s="1"/>
      <c r="C132" s="22">
        <v>72</v>
      </c>
      <c r="D132" s="34">
        <f t="shared" si="8"/>
        <v>0.72</v>
      </c>
      <c r="E132" s="30">
        <f t="shared" si="5"/>
        <v>0</v>
      </c>
      <c r="F132" s="31">
        <f t="shared" si="6"/>
        <v>0</v>
      </c>
      <c r="G132" s="32">
        <f t="shared" si="7"/>
        <v>0.83333333333333315</v>
      </c>
      <c r="H132" s="34">
        <f t="shared" si="9"/>
        <v>0.83333333333333315</v>
      </c>
      <c r="I132" s="42"/>
      <c r="J132" s="38"/>
      <c r="K132" s="38"/>
      <c r="L132" s="1"/>
      <c r="M132" s="1"/>
      <c r="N132" s="1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40"/>
      <c r="AE132" s="40"/>
    </row>
    <row r="133" spans="1:31" x14ac:dyDescent="0.25">
      <c r="A133" s="2"/>
      <c r="B133" s="1"/>
      <c r="C133" s="22">
        <v>73</v>
      </c>
      <c r="D133" s="34">
        <f t="shared" si="8"/>
        <v>0.73</v>
      </c>
      <c r="E133" s="30">
        <f t="shared" si="5"/>
        <v>0</v>
      </c>
      <c r="F133" s="31">
        <f t="shared" si="6"/>
        <v>0</v>
      </c>
      <c r="G133" s="32">
        <f t="shared" si="7"/>
        <v>0.82191780821917793</v>
      </c>
      <c r="H133" s="34">
        <f t="shared" si="9"/>
        <v>0.82191780821917793</v>
      </c>
      <c r="I133" s="42"/>
      <c r="J133" s="38"/>
      <c r="K133" s="38"/>
      <c r="L133" s="1"/>
      <c r="M133" s="1"/>
      <c r="N133" s="1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40"/>
      <c r="AE133" s="40"/>
    </row>
    <row r="134" spans="1:31" x14ac:dyDescent="0.25">
      <c r="A134" s="2"/>
      <c r="B134" s="1"/>
      <c r="C134" s="22">
        <v>74</v>
      </c>
      <c r="D134" s="34">
        <f t="shared" si="8"/>
        <v>0.74</v>
      </c>
      <c r="E134" s="30">
        <f t="shared" si="5"/>
        <v>0</v>
      </c>
      <c r="F134" s="31">
        <f t="shared" si="6"/>
        <v>0</v>
      </c>
      <c r="G134" s="32">
        <f t="shared" si="7"/>
        <v>0.81081081081081063</v>
      </c>
      <c r="H134" s="34">
        <f t="shared" si="9"/>
        <v>0.81081081081081063</v>
      </c>
      <c r="I134" s="42"/>
      <c r="J134" s="38"/>
      <c r="K134" s="38"/>
      <c r="L134" s="1"/>
      <c r="M134" s="1"/>
      <c r="N134" s="1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40"/>
      <c r="AE134" s="40"/>
    </row>
    <row r="135" spans="1:31" x14ac:dyDescent="0.25">
      <c r="A135" s="2"/>
      <c r="B135" s="1"/>
      <c r="C135" s="22">
        <v>75</v>
      </c>
      <c r="D135" s="34">
        <f t="shared" si="8"/>
        <v>0.75</v>
      </c>
      <c r="E135" s="30">
        <f t="shared" si="5"/>
        <v>0</v>
      </c>
      <c r="F135" s="31">
        <f t="shared" si="6"/>
        <v>0</v>
      </c>
      <c r="G135" s="32">
        <f t="shared" si="7"/>
        <v>0.79999999999999982</v>
      </c>
      <c r="H135" s="34">
        <f t="shared" si="9"/>
        <v>0.79999999999999982</v>
      </c>
      <c r="I135" s="42"/>
      <c r="J135" s="38"/>
      <c r="K135" s="38"/>
      <c r="L135" s="1"/>
      <c r="M135" s="1"/>
      <c r="N135" s="1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40"/>
      <c r="AE135" s="40"/>
    </row>
    <row r="136" spans="1:31" x14ac:dyDescent="0.25">
      <c r="A136" s="2"/>
      <c r="B136" s="1"/>
      <c r="C136" s="22">
        <v>76</v>
      </c>
      <c r="D136" s="34">
        <f t="shared" si="8"/>
        <v>0.76</v>
      </c>
      <c r="E136" s="30">
        <f t="shared" si="5"/>
        <v>0</v>
      </c>
      <c r="F136" s="31">
        <f t="shared" si="6"/>
        <v>0</v>
      </c>
      <c r="G136" s="32">
        <f t="shared" si="7"/>
        <v>0.78947368421052611</v>
      </c>
      <c r="H136" s="34">
        <f t="shared" si="9"/>
        <v>0.78947368421052611</v>
      </c>
      <c r="I136" s="42"/>
      <c r="J136" s="38"/>
      <c r="K136" s="38"/>
      <c r="L136" s="1"/>
      <c r="M136" s="1"/>
      <c r="N136" s="1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40"/>
      <c r="AE136" s="40"/>
    </row>
    <row r="137" spans="1:31" x14ac:dyDescent="0.25">
      <c r="A137" s="2"/>
      <c r="B137" s="1"/>
      <c r="C137" s="22">
        <v>77</v>
      </c>
      <c r="D137" s="34">
        <f t="shared" si="8"/>
        <v>0.77</v>
      </c>
      <c r="E137" s="30">
        <f t="shared" si="5"/>
        <v>0</v>
      </c>
      <c r="F137" s="31">
        <f t="shared" si="6"/>
        <v>0</v>
      </c>
      <c r="G137" s="32">
        <f t="shared" si="7"/>
        <v>0.77922077922077904</v>
      </c>
      <c r="H137" s="34">
        <f t="shared" si="9"/>
        <v>0.77922077922077904</v>
      </c>
      <c r="I137" s="42"/>
      <c r="J137" s="38"/>
      <c r="K137" s="38"/>
      <c r="L137" s="1"/>
      <c r="M137" s="1"/>
      <c r="N137" s="1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40"/>
      <c r="AE137" s="40"/>
    </row>
    <row r="138" spans="1:31" x14ac:dyDescent="0.25">
      <c r="A138" s="2"/>
      <c r="B138" s="1"/>
      <c r="C138" s="22">
        <v>78</v>
      </c>
      <c r="D138" s="34">
        <f t="shared" si="8"/>
        <v>0.78</v>
      </c>
      <c r="E138" s="30">
        <f t="shared" si="5"/>
        <v>0</v>
      </c>
      <c r="F138" s="31">
        <f t="shared" si="6"/>
        <v>0</v>
      </c>
      <c r="G138" s="32">
        <f t="shared" si="7"/>
        <v>0.76923076923076905</v>
      </c>
      <c r="H138" s="34">
        <f t="shared" si="9"/>
        <v>0.76923076923076905</v>
      </c>
      <c r="I138" s="42"/>
      <c r="J138" s="38"/>
      <c r="K138" s="38"/>
      <c r="L138" s="1"/>
      <c r="M138" s="1"/>
      <c r="N138" s="1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40"/>
      <c r="AE138" s="40"/>
    </row>
    <row r="139" spans="1:31" x14ac:dyDescent="0.25">
      <c r="A139" s="2"/>
      <c r="B139" s="1"/>
      <c r="C139" s="22">
        <v>79</v>
      </c>
      <c r="D139" s="34">
        <f t="shared" si="8"/>
        <v>0.79</v>
      </c>
      <c r="E139" s="30">
        <f t="shared" si="5"/>
        <v>0</v>
      </c>
      <c r="F139" s="31">
        <f t="shared" si="6"/>
        <v>0</v>
      </c>
      <c r="G139" s="32">
        <f t="shared" si="7"/>
        <v>0.75949367088607578</v>
      </c>
      <c r="H139" s="34">
        <f t="shared" si="9"/>
        <v>0.75949367088607578</v>
      </c>
      <c r="I139" s="42"/>
      <c r="J139" s="38"/>
      <c r="K139" s="38"/>
      <c r="L139" s="1"/>
      <c r="M139" s="1"/>
      <c r="N139" s="1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40"/>
      <c r="AE139" s="40"/>
    </row>
    <row r="140" spans="1:31" x14ac:dyDescent="0.25">
      <c r="A140" s="2"/>
      <c r="B140" s="1"/>
      <c r="C140" s="22">
        <v>80</v>
      </c>
      <c r="D140" s="34">
        <f t="shared" si="8"/>
        <v>0.8</v>
      </c>
      <c r="E140" s="30">
        <f t="shared" si="5"/>
        <v>0</v>
      </c>
      <c r="F140" s="31">
        <f t="shared" si="6"/>
        <v>0</v>
      </c>
      <c r="G140" s="32">
        <f t="shared" si="7"/>
        <v>0.74999999999999978</v>
      </c>
      <c r="H140" s="34">
        <f t="shared" si="9"/>
        <v>0.74999999999999978</v>
      </c>
      <c r="I140" s="42"/>
      <c r="J140" s="38"/>
      <c r="K140" s="38"/>
      <c r="L140" s="1"/>
      <c r="M140" s="1"/>
      <c r="N140" s="1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40"/>
      <c r="AE140" s="40"/>
    </row>
    <row r="141" spans="1:31" x14ac:dyDescent="0.25">
      <c r="A141" s="2"/>
      <c r="B141" s="1"/>
      <c r="C141" s="22">
        <v>81</v>
      </c>
      <c r="D141" s="34">
        <f t="shared" si="8"/>
        <v>0.81</v>
      </c>
      <c r="E141" s="30">
        <f t="shared" si="5"/>
        <v>0</v>
      </c>
      <c r="F141" s="31">
        <f t="shared" si="6"/>
        <v>0</v>
      </c>
      <c r="G141" s="32">
        <f t="shared" si="7"/>
        <v>0.74074074074074048</v>
      </c>
      <c r="H141" s="34">
        <f t="shared" si="9"/>
        <v>0.74074074074074048</v>
      </c>
      <c r="I141" s="42"/>
      <c r="J141" s="38"/>
      <c r="K141" s="38"/>
      <c r="L141" s="1"/>
      <c r="M141" s="1"/>
      <c r="N141" s="1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40"/>
      <c r="AE141" s="40"/>
    </row>
    <row r="142" spans="1:31" x14ac:dyDescent="0.25">
      <c r="A142" s="2"/>
      <c r="B142" s="1"/>
      <c r="C142" s="22">
        <v>82</v>
      </c>
      <c r="D142" s="34">
        <f t="shared" si="8"/>
        <v>0.82000000000000006</v>
      </c>
      <c r="E142" s="30">
        <f t="shared" si="5"/>
        <v>0</v>
      </c>
      <c r="F142" s="31">
        <f t="shared" si="6"/>
        <v>0</v>
      </c>
      <c r="G142" s="32">
        <f t="shared" si="7"/>
        <v>0.73170731707317049</v>
      </c>
      <c r="H142" s="34">
        <f t="shared" si="9"/>
        <v>0.73170731707317049</v>
      </c>
      <c r="I142" s="42"/>
      <c r="J142" s="38"/>
      <c r="K142" s="38"/>
      <c r="L142" s="1"/>
      <c r="M142" s="1"/>
      <c r="N142" s="1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40"/>
      <c r="AE142" s="40"/>
    </row>
    <row r="143" spans="1:31" x14ac:dyDescent="0.25">
      <c r="A143" s="2"/>
      <c r="B143" s="1"/>
      <c r="C143" s="22">
        <v>83</v>
      </c>
      <c r="D143" s="34">
        <f t="shared" si="8"/>
        <v>0.83000000000000007</v>
      </c>
      <c r="E143" s="30">
        <f t="shared" si="5"/>
        <v>0</v>
      </c>
      <c r="F143" s="31">
        <f t="shared" si="6"/>
        <v>0</v>
      </c>
      <c r="G143" s="32">
        <f t="shared" si="7"/>
        <v>0.72289156626506001</v>
      </c>
      <c r="H143" s="34">
        <f t="shared" si="9"/>
        <v>0.72289156626506001</v>
      </c>
      <c r="I143" s="42"/>
      <c r="J143" s="38"/>
      <c r="K143" s="38"/>
      <c r="L143" s="1"/>
      <c r="M143" s="1"/>
      <c r="N143" s="1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40"/>
      <c r="AE143" s="40"/>
    </row>
    <row r="144" spans="1:31" x14ac:dyDescent="0.25">
      <c r="A144" s="2"/>
      <c r="B144" s="1"/>
      <c r="C144" s="22">
        <v>84</v>
      </c>
      <c r="D144" s="34">
        <f t="shared" si="8"/>
        <v>0.84</v>
      </c>
      <c r="E144" s="30">
        <f t="shared" si="5"/>
        <v>0</v>
      </c>
      <c r="F144" s="31">
        <f t="shared" si="6"/>
        <v>0</v>
      </c>
      <c r="G144" s="32">
        <f t="shared" si="7"/>
        <v>0.71428571428571419</v>
      </c>
      <c r="H144" s="34">
        <f t="shared" si="9"/>
        <v>0.71428571428571419</v>
      </c>
      <c r="I144" s="42"/>
      <c r="J144" s="38"/>
      <c r="K144" s="38"/>
      <c r="L144" s="1"/>
      <c r="M144" s="1"/>
      <c r="N144" s="1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40"/>
      <c r="AE144" s="40"/>
    </row>
    <row r="145" spans="1:31" x14ac:dyDescent="0.25">
      <c r="A145" s="2"/>
      <c r="B145" s="1"/>
      <c r="C145" s="22">
        <v>85</v>
      </c>
      <c r="D145" s="34">
        <f t="shared" si="8"/>
        <v>0.85</v>
      </c>
      <c r="E145" s="30">
        <f t="shared" si="5"/>
        <v>0</v>
      </c>
      <c r="F145" s="31">
        <f t="shared" si="6"/>
        <v>0</v>
      </c>
      <c r="G145" s="32">
        <f t="shared" si="7"/>
        <v>0.70588235294117629</v>
      </c>
      <c r="H145" s="34">
        <f t="shared" si="9"/>
        <v>0.70588235294117629</v>
      </c>
      <c r="I145" s="42"/>
      <c r="J145" s="38"/>
      <c r="K145" s="38"/>
      <c r="L145" s="1"/>
      <c r="M145" s="1"/>
      <c r="N145" s="1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40"/>
      <c r="AE145" s="40"/>
    </row>
    <row r="146" spans="1:31" x14ac:dyDescent="0.25">
      <c r="A146" s="2"/>
      <c r="B146" s="1"/>
      <c r="C146" s="22">
        <v>86</v>
      </c>
      <c r="D146" s="34">
        <f t="shared" si="8"/>
        <v>0.86</v>
      </c>
      <c r="E146" s="30">
        <f t="shared" si="5"/>
        <v>0</v>
      </c>
      <c r="F146" s="31">
        <f t="shared" si="6"/>
        <v>0</v>
      </c>
      <c r="G146" s="32">
        <f t="shared" si="7"/>
        <v>0.69767441860465107</v>
      </c>
      <c r="H146" s="34">
        <f t="shared" si="9"/>
        <v>0.69767441860465107</v>
      </c>
      <c r="I146" s="42"/>
      <c r="J146" s="38"/>
      <c r="K146" s="38"/>
      <c r="L146" s="1"/>
      <c r="M146" s="1"/>
      <c r="N146" s="1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40"/>
      <c r="AE146" s="40"/>
    </row>
    <row r="147" spans="1:31" x14ac:dyDescent="0.25">
      <c r="A147" s="2"/>
      <c r="B147" s="1"/>
      <c r="C147" s="22">
        <v>87</v>
      </c>
      <c r="D147" s="34">
        <f t="shared" si="8"/>
        <v>0.87</v>
      </c>
      <c r="E147" s="30">
        <f t="shared" si="5"/>
        <v>0</v>
      </c>
      <c r="F147" s="31">
        <f t="shared" si="6"/>
        <v>0</v>
      </c>
      <c r="G147" s="32">
        <f t="shared" si="7"/>
        <v>0.68965517241379293</v>
      </c>
      <c r="H147" s="34">
        <f t="shared" si="9"/>
        <v>0.68965517241379293</v>
      </c>
      <c r="I147" s="42"/>
      <c r="J147" s="38"/>
      <c r="K147" s="38"/>
      <c r="L147" s="1"/>
      <c r="M147" s="1"/>
      <c r="N147" s="1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40"/>
      <c r="AE147" s="40"/>
    </row>
    <row r="148" spans="1:31" x14ac:dyDescent="0.25">
      <c r="A148" s="2"/>
      <c r="B148" s="1"/>
      <c r="C148" s="22">
        <v>88</v>
      </c>
      <c r="D148" s="34">
        <f t="shared" si="8"/>
        <v>0.88</v>
      </c>
      <c r="E148" s="30">
        <f t="shared" si="5"/>
        <v>0</v>
      </c>
      <c r="F148" s="31">
        <f t="shared" si="6"/>
        <v>0</v>
      </c>
      <c r="G148" s="32">
        <f t="shared" si="7"/>
        <v>0.68181818181818166</v>
      </c>
      <c r="H148" s="34">
        <f t="shared" si="9"/>
        <v>0.68181818181818166</v>
      </c>
      <c r="I148" s="42"/>
      <c r="J148" s="38"/>
      <c r="K148" s="38"/>
      <c r="L148" s="1"/>
      <c r="M148" s="1"/>
      <c r="N148" s="1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40"/>
      <c r="AE148" s="40"/>
    </row>
    <row r="149" spans="1:31" x14ac:dyDescent="0.25">
      <c r="A149" s="2"/>
      <c r="B149" s="1"/>
      <c r="C149" s="22">
        <v>89</v>
      </c>
      <c r="D149" s="34">
        <f t="shared" si="8"/>
        <v>0.89</v>
      </c>
      <c r="E149" s="30">
        <f t="shared" si="5"/>
        <v>0</v>
      </c>
      <c r="F149" s="31">
        <f t="shared" si="6"/>
        <v>0</v>
      </c>
      <c r="G149" s="32">
        <f t="shared" si="7"/>
        <v>0.67415730337078639</v>
      </c>
      <c r="H149" s="34">
        <f t="shared" si="9"/>
        <v>0.67415730337078639</v>
      </c>
      <c r="I149" s="42"/>
      <c r="J149" s="38"/>
      <c r="K149" s="38"/>
      <c r="L149" s="1"/>
      <c r="M149" s="1"/>
      <c r="N149" s="1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40"/>
      <c r="AE149" s="40"/>
    </row>
    <row r="150" spans="1:31" x14ac:dyDescent="0.25">
      <c r="A150" s="2"/>
      <c r="B150" s="1"/>
      <c r="C150" s="22">
        <v>90</v>
      </c>
      <c r="D150" s="34">
        <f t="shared" si="8"/>
        <v>0.9</v>
      </c>
      <c r="E150" s="30">
        <f t="shared" si="5"/>
        <v>0</v>
      </c>
      <c r="F150" s="31">
        <f t="shared" si="6"/>
        <v>0</v>
      </c>
      <c r="G150" s="32">
        <f t="shared" si="7"/>
        <v>0.66666666666666652</v>
      </c>
      <c r="H150" s="34">
        <f t="shared" si="9"/>
        <v>0.66666666666666652</v>
      </c>
      <c r="I150" s="42"/>
      <c r="J150" s="38"/>
      <c r="K150" s="38"/>
      <c r="L150" s="1"/>
      <c r="M150" s="1"/>
      <c r="N150" s="1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40"/>
      <c r="AE150" s="40"/>
    </row>
    <row r="151" spans="1:31" x14ac:dyDescent="0.25">
      <c r="A151" s="2"/>
      <c r="B151" s="1"/>
      <c r="C151" s="22">
        <v>91</v>
      </c>
      <c r="D151" s="34">
        <f t="shared" si="8"/>
        <v>0.91</v>
      </c>
      <c r="E151" s="30">
        <f t="shared" si="5"/>
        <v>0</v>
      </c>
      <c r="F151" s="31">
        <f t="shared" si="6"/>
        <v>0</v>
      </c>
      <c r="G151" s="32">
        <f t="shared" si="7"/>
        <v>0.65934065934065922</v>
      </c>
      <c r="H151" s="34">
        <f t="shared" si="9"/>
        <v>0.65934065934065922</v>
      </c>
      <c r="I151" s="42"/>
      <c r="J151" s="38"/>
      <c r="K151" s="38"/>
      <c r="L151" s="1"/>
      <c r="M151" s="1"/>
      <c r="N151" s="1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40"/>
      <c r="AE151" s="40"/>
    </row>
    <row r="152" spans="1:31" x14ac:dyDescent="0.25">
      <c r="A152" s="2"/>
      <c r="B152" s="1"/>
      <c r="C152" s="22">
        <v>92</v>
      </c>
      <c r="D152" s="34">
        <f t="shared" si="8"/>
        <v>0.92</v>
      </c>
      <c r="E152" s="30">
        <f t="shared" si="5"/>
        <v>0</v>
      </c>
      <c r="F152" s="31">
        <f t="shared" si="6"/>
        <v>0</v>
      </c>
      <c r="G152" s="32">
        <f t="shared" si="7"/>
        <v>0.65217391304347805</v>
      </c>
      <c r="H152" s="34">
        <f t="shared" si="9"/>
        <v>0.65217391304347805</v>
      </c>
      <c r="I152" s="42"/>
      <c r="J152" s="38"/>
      <c r="K152" s="38"/>
      <c r="L152" s="1"/>
      <c r="M152" s="1"/>
      <c r="N152" s="1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40"/>
      <c r="AE152" s="40"/>
    </row>
    <row r="153" spans="1:31" x14ac:dyDescent="0.25">
      <c r="A153" s="2"/>
      <c r="B153" s="1"/>
      <c r="C153" s="22">
        <v>93</v>
      </c>
      <c r="D153" s="34">
        <f t="shared" si="8"/>
        <v>0.93</v>
      </c>
      <c r="E153" s="30">
        <f t="shared" si="5"/>
        <v>0</v>
      </c>
      <c r="F153" s="31">
        <f t="shared" si="6"/>
        <v>0</v>
      </c>
      <c r="G153" s="32">
        <f t="shared" si="7"/>
        <v>0.64516129032258052</v>
      </c>
      <c r="H153" s="34">
        <f t="shared" si="9"/>
        <v>0.64516129032258052</v>
      </c>
      <c r="I153" s="42"/>
      <c r="J153" s="38"/>
      <c r="K153" s="38"/>
      <c r="L153" s="1"/>
      <c r="M153" s="1"/>
      <c r="N153" s="1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40"/>
      <c r="AE153" s="40"/>
    </row>
    <row r="154" spans="1:31" x14ac:dyDescent="0.25">
      <c r="A154" s="2"/>
      <c r="B154" s="1"/>
      <c r="C154" s="22">
        <v>94</v>
      </c>
      <c r="D154" s="34">
        <f t="shared" si="8"/>
        <v>0.94000000000000006</v>
      </c>
      <c r="E154" s="30">
        <f t="shared" si="5"/>
        <v>0</v>
      </c>
      <c r="F154" s="31">
        <f t="shared" si="6"/>
        <v>0</v>
      </c>
      <c r="G154" s="32">
        <f t="shared" si="7"/>
        <v>0.63829787234042534</v>
      </c>
      <c r="H154" s="34">
        <f t="shared" si="9"/>
        <v>0.63829787234042534</v>
      </c>
      <c r="I154" s="42"/>
      <c r="J154" s="38"/>
      <c r="K154" s="38"/>
      <c r="L154" s="1"/>
      <c r="M154" s="1"/>
      <c r="N154" s="1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40"/>
      <c r="AE154" s="40"/>
    </row>
    <row r="155" spans="1:31" x14ac:dyDescent="0.25">
      <c r="A155" s="2"/>
      <c r="B155" s="1"/>
      <c r="C155" s="22">
        <v>95</v>
      </c>
      <c r="D155" s="34">
        <f t="shared" si="8"/>
        <v>0.95000000000000007</v>
      </c>
      <c r="E155" s="30">
        <f t="shared" si="5"/>
        <v>0</v>
      </c>
      <c r="F155" s="31">
        <f t="shared" si="6"/>
        <v>0</v>
      </c>
      <c r="G155" s="32">
        <f t="shared" si="7"/>
        <v>0.63157894736842091</v>
      </c>
      <c r="H155" s="34">
        <f t="shared" si="9"/>
        <v>0.63157894736842091</v>
      </c>
      <c r="I155" s="42"/>
      <c r="J155" s="38"/>
      <c r="K155" s="38"/>
      <c r="L155" s="1"/>
      <c r="M155" s="1"/>
      <c r="N155" s="1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40"/>
      <c r="AE155" s="40"/>
    </row>
    <row r="156" spans="1:31" x14ac:dyDescent="0.25">
      <c r="A156" s="2"/>
      <c r="B156" s="1"/>
      <c r="C156" s="22">
        <v>96</v>
      </c>
      <c r="D156" s="34">
        <f t="shared" si="8"/>
        <v>0.96</v>
      </c>
      <c r="E156" s="30">
        <f t="shared" si="5"/>
        <v>0</v>
      </c>
      <c r="F156" s="31">
        <f t="shared" si="6"/>
        <v>0</v>
      </c>
      <c r="G156" s="32">
        <f t="shared" si="7"/>
        <v>0.62499999999999989</v>
      </c>
      <c r="H156" s="34">
        <f t="shared" si="9"/>
        <v>0.62499999999999989</v>
      </c>
      <c r="I156" s="42"/>
      <c r="J156" s="38"/>
      <c r="K156" s="38"/>
      <c r="L156" s="1"/>
      <c r="M156" s="1"/>
      <c r="N156" s="1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40"/>
      <c r="AE156" s="40"/>
    </row>
    <row r="157" spans="1:31" x14ac:dyDescent="0.25">
      <c r="A157" s="2"/>
      <c r="B157" s="1"/>
      <c r="C157" s="22">
        <v>97</v>
      </c>
      <c r="D157" s="34">
        <f t="shared" si="8"/>
        <v>0.97</v>
      </c>
      <c r="E157" s="30">
        <f t="shared" si="5"/>
        <v>0</v>
      </c>
      <c r="F157" s="31">
        <f t="shared" si="6"/>
        <v>0</v>
      </c>
      <c r="G157" s="32">
        <f t="shared" si="7"/>
        <v>0.61855670103092775</v>
      </c>
      <c r="H157" s="34">
        <f t="shared" si="9"/>
        <v>0.61855670103092775</v>
      </c>
      <c r="I157" s="42"/>
      <c r="J157" s="38"/>
      <c r="K157" s="38"/>
      <c r="L157" s="1"/>
      <c r="M157" s="1"/>
      <c r="N157" s="1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40"/>
      <c r="AE157" s="40"/>
    </row>
    <row r="158" spans="1:31" x14ac:dyDescent="0.25">
      <c r="A158" s="2"/>
      <c r="B158" s="1"/>
      <c r="C158" s="22">
        <v>98</v>
      </c>
      <c r="D158" s="34">
        <f t="shared" si="8"/>
        <v>0.98</v>
      </c>
      <c r="E158" s="30">
        <f t="shared" si="5"/>
        <v>0</v>
      </c>
      <c r="F158" s="31">
        <f t="shared" si="6"/>
        <v>0</v>
      </c>
      <c r="G158" s="32">
        <f t="shared" si="7"/>
        <v>0.61224489795918358</v>
      </c>
      <c r="H158" s="34">
        <f t="shared" si="9"/>
        <v>0.61224489795918358</v>
      </c>
      <c r="I158" s="42"/>
      <c r="J158" s="38"/>
      <c r="K158" s="38"/>
      <c r="L158" s="1"/>
      <c r="M158" s="1"/>
      <c r="N158" s="1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40"/>
      <c r="AE158" s="40"/>
    </row>
    <row r="159" spans="1:31" x14ac:dyDescent="0.25">
      <c r="A159" s="2"/>
      <c r="B159" s="1"/>
      <c r="C159" s="22">
        <v>99</v>
      </c>
      <c r="D159" s="34">
        <f t="shared" si="8"/>
        <v>0.99</v>
      </c>
      <c r="E159" s="30">
        <f t="shared" si="5"/>
        <v>0</v>
      </c>
      <c r="F159" s="31">
        <f t="shared" si="6"/>
        <v>0</v>
      </c>
      <c r="G159" s="32">
        <f t="shared" si="7"/>
        <v>0.60606060606060597</v>
      </c>
      <c r="H159" s="34">
        <f t="shared" si="9"/>
        <v>0.60606060606060597</v>
      </c>
      <c r="I159" s="42"/>
      <c r="J159" s="38"/>
      <c r="K159" s="38"/>
      <c r="L159" s="1"/>
      <c r="M159" s="1"/>
      <c r="N159" s="1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40"/>
      <c r="AE159" s="40"/>
    </row>
    <row r="160" spans="1:31" x14ac:dyDescent="0.25">
      <c r="A160" s="2"/>
      <c r="B160" s="1"/>
      <c r="C160" s="22">
        <v>100</v>
      </c>
      <c r="D160" s="34">
        <f t="shared" si="8"/>
        <v>1</v>
      </c>
      <c r="E160" s="30">
        <f t="shared" si="5"/>
        <v>0</v>
      </c>
      <c r="F160" s="31">
        <f t="shared" si="6"/>
        <v>0</v>
      </c>
      <c r="G160" s="32">
        <f t="shared" si="7"/>
        <v>0.59999999999999987</v>
      </c>
      <c r="H160" s="34">
        <f t="shared" si="9"/>
        <v>0.59999999999999987</v>
      </c>
      <c r="I160" s="42"/>
      <c r="J160" s="38"/>
      <c r="K160" s="38"/>
      <c r="L160" s="1"/>
      <c r="M160" s="1"/>
      <c r="N160" s="1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40"/>
      <c r="AE160" s="40"/>
    </row>
    <row r="161" spans="1:31" x14ac:dyDescent="0.25">
      <c r="A161" s="2"/>
      <c r="B161" s="1"/>
      <c r="C161" s="22">
        <v>101</v>
      </c>
      <c r="D161" s="34">
        <f t="shared" si="8"/>
        <v>1.01</v>
      </c>
      <c r="E161" s="30">
        <f t="shared" si="5"/>
        <v>0</v>
      </c>
      <c r="F161" s="31">
        <f t="shared" si="6"/>
        <v>0</v>
      </c>
      <c r="G161" s="32">
        <f t="shared" si="7"/>
        <v>0.59405940594059392</v>
      </c>
      <c r="H161" s="34">
        <f t="shared" ref="H161:H224" si="10">SUM(E161:G161)</f>
        <v>0.59405940594059392</v>
      </c>
      <c r="I161" s="42"/>
      <c r="J161" s="38"/>
      <c r="K161" s="38"/>
      <c r="L161" s="1"/>
      <c r="M161" s="1"/>
      <c r="N161" s="1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40"/>
      <c r="AE161" s="40"/>
    </row>
    <row r="162" spans="1:31" x14ac:dyDescent="0.25">
      <c r="A162" s="2"/>
      <c r="B162" s="1"/>
      <c r="C162" s="22">
        <v>102</v>
      </c>
      <c r="D162" s="34">
        <f t="shared" si="8"/>
        <v>1.02</v>
      </c>
      <c r="E162" s="30">
        <f t="shared" si="5"/>
        <v>0</v>
      </c>
      <c r="F162" s="31">
        <f t="shared" si="6"/>
        <v>0</v>
      </c>
      <c r="G162" s="32">
        <f t="shared" si="7"/>
        <v>0.58823529411764697</v>
      </c>
      <c r="H162" s="34">
        <f t="shared" si="10"/>
        <v>0.58823529411764697</v>
      </c>
      <c r="I162" s="42"/>
      <c r="J162" s="38"/>
      <c r="K162" s="38"/>
      <c r="L162" s="1"/>
      <c r="M162" s="1"/>
      <c r="N162" s="1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40"/>
      <c r="AE162" s="40"/>
    </row>
    <row r="163" spans="1:31" x14ac:dyDescent="0.25">
      <c r="A163" s="2"/>
      <c r="B163" s="1"/>
      <c r="C163" s="22">
        <v>103</v>
      </c>
      <c r="D163" s="34">
        <f t="shared" si="8"/>
        <v>1.03</v>
      </c>
      <c r="E163" s="30">
        <f t="shared" si="5"/>
        <v>0</v>
      </c>
      <c r="F163" s="31">
        <f t="shared" si="6"/>
        <v>0</v>
      </c>
      <c r="G163" s="32">
        <f t="shared" si="7"/>
        <v>0.58252427184466005</v>
      </c>
      <c r="H163" s="34">
        <f t="shared" si="10"/>
        <v>0.58252427184466005</v>
      </c>
      <c r="I163" s="42"/>
      <c r="J163" s="38"/>
      <c r="K163" s="38"/>
      <c r="L163" s="1"/>
      <c r="M163" s="1"/>
      <c r="N163" s="1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40"/>
      <c r="AE163" s="40"/>
    </row>
    <row r="164" spans="1:31" x14ac:dyDescent="0.25">
      <c r="A164" s="2"/>
      <c r="B164" s="1"/>
      <c r="C164" s="22">
        <v>104</v>
      </c>
      <c r="D164" s="34">
        <f t="shared" si="8"/>
        <v>1.04</v>
      </c>
      <c r="E164" s="30">
        <f t="shared" si="5"/>
        <v>0</v>
      </c>
      <c r="F164" s="31">
        <f t="shared" si="6"/>
        <v>0</v>
      </c>
      <c r="G164" s="32">
        <f t="shared" si="7"/>
        <v>0.57692307692307676</v>
      </c>
      <c r="H164" s="34">
        <f t="shared" si="10"/>
        <v>0.57692307692307676</v>
      </c>
      <c r="I164" s="42"/>
      <c r="J164" s="38"/>
      <c r="K164" s="38"/>
      <c r="L164" s="1"/>
      <c r="M164" s="1"/>
      <c r="N164" s="1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40"/>
      <c r="AE164" s="40"/>
    </row>
    <row r="165" spans="1:31" x14ac:dyDescent="0.25">
      <c r="A165" s="2"/>
      <c r="B165" s="1"/>
      <c r="C165" s="22">
        <v>105</v>
      </c>
      <c r="D165" s="34">
        <f t="shared" si="8"/>
        <v>1.05</v>
      </c>
      <c r="E165" s="30">
        <f t="shared" si="5"/>
        <v>0</v>
      </c>
      <c r="F165" s="31">
        <f t="shared" si="6"/>
        <v>0</v>
      </c>
      <c r="G165" s="32">
        <f t="shared" si="7"/>
        <v>0.57142857142857129</v>
      </c>
      <c r="H165" s="34">
        <f t="shared" si="10"/>
        <v>0.57142857142857129</v>
      </c>
      <c r="I165" s="42"/>
      <c r="J165" s="38"/>
      <c r="K165" s="38"/>
      <c r="L165" s="1"/>
      <c r="M165" s="1"/>
      <c r="N165" s="1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40"/>
      <c r="AE165" s="40"/>
    </row>
    <row r="166" spans="1:31" x14ac:dyDescent="0.25">
      <c r="A166" s="2"/>
      <c r="B166" s="1"/>
      <c r="C166" s="22">
        <v>106</v>
      </c>
      <c r="D166" s="34">
        <f t="shared" si="8"/>
        <v>1.06</v>
      </c>
      <c r="E166" s="30">
        <f t="shared" si="5"/>
        <v>0</v>
      </c>
      <c r="F166" s="31">
        <f t="shared" si="6"/>
        <v>0</v>
      </c>
      <c r="G166" s="32">
        <f t="shared" si="7"/>
        <v>0.56603773584905648</v>
      </c>
      <c r="H166" s="34">
        <f t="shared" si="10"/>
        <v>0.56603773584905648</v>
      </c>
      <c r="I166" s="42"/>
      <c r="J166" s="38"/>
      <c r="K166" s="38"/>
      <c r="L166" s="1"/>
      <c r="M166" s="1"/>
      <c r="N166" s="1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40"/>
      <c r="AE166" s="40"/>
    </row>
    <row r="167" spans="1:31" x14ac:dyDescent="0.25">
      <c r="A167" s="2"/>
      <c r="B167" s="1"/>
      <c r="C167" s="22">
        <v>107</v>
      </c>
      <c r="D167" s="34">
        <f t="shared" si="8"/>
        <v>1.07</v>
      </c>
      <c r="E167" s="30">
        <f t="shared" si="5"/>
        <v>0</v>
      </c>
      <c r="F167" s="31">
        <f t="shared" si="6"/>
        <v>0</v>
      </c>
      <c r="G167" s="32">
        <f t="shared" si="7"/>
        <v>0.56074766355140171</v>
      </c>
      <c r="H167" s="34">
        <f t="shared" si="10"/>
        <v>0.56074766355140171</v>
      </c>
      <c r="I167" s="42"/>
      <c r="J167" s="38"/>
      <c r="K167" s="38"/>
      <c r="L167" s="1"/>
      <c r="M167" s="1"/>
      <c r="N167" s="1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40"/>
      <c r="AE167" s="40"/>
    </row>
    <row r="168" spans="1:31" x14ac:dyDescent="0.25">
      <c r="A168" s="2"/>
      <c r="B168" s="1"/>
      <c r="C168" s="22">
        <v>108</v>
      </c>
      <c r="D168" s="34">
        <f t="shared" si="8"/>
        <v>1.08</v>
      </c>
      <c r="E168" s="30">
        <f t="shared" si="5"/>
        <v>0</v>
      </c>
      <c r="F168" s="31">
        <f t="shared" si="6"/>
        <v>0</v>
      </c>
      <c r="G168" s="32">
        <f t="shared" si="7"/>
        <v>0.55555555555555536</v>
      </c>
      <c r="H168" s="34">
        <f t="shared" si="10"/>
        <v>0.55555555555555536</v>
      </c>
      <c r="I168" s="42"/>
      <c r="J168" s="38"/>
      <c r="K168" s="38"/>
      <c r="L168" s="1"/>
      <c r="M168" s="1"/>
      <c r="N168" s="1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40"/>
      <c r="AE168" s="40"/>
    </row>
    <row r="169" spans="1:31" x14ac:dyDescent="0.25">
      <c r="A169" s="2"/>
      <c r="B169" s="1"/>
      <c r="C169" s="22">
        <v>109</v>
      </c>
      <c r="D169" s="34">
        <f t="shared" si="8"/>
        <v>1.0900000000000001</v>
      </c>
      <c r="E169" s="30">
        <f t="shared" si="5"/>
        <v>0</v>
      </c>
      <c r="F169" s="31">
        <f t="shared" si="6"/>
        <v>0</v>
      </c>
      <c r="G169" s="32">
        <f t="shared" si="7"/>
        <v>0.55045871559633008</v>
      </c>
      <c r="H169" s="34">
        <f t="shared" si="10"/>
        <v>0.55045871559633008</v>
      </c>
      <c r="I169" s="42"/>
      <c r="J169" s="38"/>
      <c r="K169" s="38"/>
      <c r="L169" s="1"/>
      <c r="M169" s="1"/>
      <c r="N169" s="1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40"/>
      <c r="AE169" s="40"/>
    </row>
    <row r="170" spans="1:31" x14ac:dyDescent="0.25">
      <c r="A170" s="2"/>
      <c r="B170" s="1"/>
      <c r="C170" s="22">
        <v>110</v>
      </c>
      <c r="D170" s="34">
        <f t="shared" si="8"/>
        <v>1.1000000000000001</v>
      </c>
      <c r="E170" s="30">
        <f t="shared" si="5"/>
        <v>0</v>
      </c>
      <c r="F170" s="31">
        <f t="shared" si="6"/>
        <v>0</v>
      </c>
      <c r="G170" s="32">
        <f t="shared" si="7"/>
        <v>0.5454545454545453</v>
      </c>
      <c r="H170" s="34">
        <f t="shared" si="10"/>
        <v>0.5454545454545453</v>
      </c>
      <c r="I170" s="42"/>
      <c r="J170" s="38"/>
      <c r="K170" s="38"/>
      <c r="L170" s="1"/>
      <c r="M170" s="1"/>
      <c r="N170" s="1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40"/>
      <c r="AE170" s="40"/>
    </row>
    <row r="171" spans="1:31" x14ac:dyDescent="0.25">
      <c r="A171" s="2"/>
      <c r="B171" s="1"/>
      <c r="C171" s="22">
        <v>111</v>
      </c>
      <c r="D171" s="34">
        <f t="shared" si="8"/>
        <v>1.1100000000000001</v>
      </c>
      <c r="E171" s="30">
        <f t="shared" si="5"/>
        <v>0</v>
      </c>
      <c r="F171" s="31">
        <f t="shared" si="6"/>
        <v>0</v>
      </c>
      <c r="G171" s="32">
        <f t="shared" si="7"/>
        <v>0.54054054054054035</v>
      </c>
      <c r="H171" s="34">
        <f t="shared" si="10"/>
        <v>0.54054054054054035</v>
      </c>
      <c r="I171" s="42"/>
      <c r="J171" s="38"/>
      <c r="K171" s="38"/>
      <c r="L171" s="1"/>
      <c r="M171" s="1"/>
      <c r="N171" s="1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40"/>
      <c r="AE171" s="40"/>
    </row>
    <row r="172" spans="1:31" x14ac:dyDescent="0.25">
      <c r="A172" s="2"/>
      <c r="B172" s="1"/>
      <c r="C172" s="22">
        <v>112</v>
      </c>
      <c r="D172" s="34">
        <f t="shared" si="8"/>
        <v>1.1200000000000001</v>
      </c>
      <c r="E172" s="30">
        <f t="shared" si="5"/>
        <v>0</v>
      </c>
      <c r="F172" s="31">
        <f t="shared" si="6"/>
        <v>0</v>
      </c>
      <c r="G172" s="32">
        <f t="shared" si="7"/>
        <v>0.53571428571428559</v>
      </c>
      <c r="H172" s="34">
        <f t="shared" si="10"/>
        <v>0.53571428571428559</v>
      </c>
      <c r="I172" s="42"/>
      <c r="J172" s="38"/>
      <c r="K172" s="38"/>
      <c r="L172" s="1"/>
      <c r="M172" s="1"/>
      <c r="N172" s="1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40"/>
      <c r="AE172" s="40"/>
    </row>
    <row r="173" spans="1:31" x14ac:dyDescent="0.25">
      <c r="A173" s="2"/>
      <c r="B173" s="1"/>
      <c r="C173" s="22">
        <v>113</v>
      </c>
      <c r="D173" s="34">
        <f t="shared" si="8"/>
        <v>1.1300000000000001</v>
      </c>
      <c r="E173" s="30">
        <f t="shared" si="5"/>
        <v>0</v>
      </c>
      <c r="F173" s="31">
        <f t="shared" si="6"/>
        <v>0</v>
      </c>
      <c r="G173" s="32">
        <f t="shared" si="7"/>
        <v>0.53097345132743345</v>
      </c>
      <c r="H173" s="34">
        <f t="shared" si="10"/>
        <v>0.53097345132743345</v>
      </c>
      <c r="I173" s="42"/>
      <c r="J173" s="38"/>
      <c r="K173" s="38"/>
      <c r="L173" s="1"/>
      <c r="M173" s="1"/>
      <c r="N173" s="1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40"/>
      <c r="AE173" s="40"/>
    </row>
    <row r="174" spans="1:31" x14ac:dyDescent="0.25">
      <c r="A174" s="2"/>
      <c r="B174" s="1"/>
      <c r="C174" s="22">
        <v>114</v>
      </c>
      <c r="D174" s="34">
        <f t="shared" si="8"/>
        <v>1.1400000000000001</v>
      </c>
      <c r="E174" s="30">
        <f t="shared" si="5"/>
        <v>0</v>
      </c>
      <c r="F174" s="31">
        <f t="shared" si="6"/>
        <v>0</v>
      </c>
      <c r="G174" s="32">
        <f t="shared" si="7"/>
        <v>0.52631578947368407</v>
      </c>
      <c r="H174" s="34">
        <f t="shared" si="10"/>
        <v>0.52631578947368407</v>
      </c>
      <c r="I174" s="42"/>
      <c r="J174" s="38"/>
      <c r="K174" s="38"/>
      <c r="L174" s="1"/>
      <c r="M174" s="1"/>
      <c r="N174" s="1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40"/>
      <c r="AE174" s="40"/>
    </row>
    <row r="175" spans="1:31" x14ac:dyDescent="0.25">
      <c r="A175" s="2"/>
      <c r="B175" s="1"/>
      <c r="C175" s="22">
        <v>115</v>
      </c>
      <c r="D175" s="34">
        <f t="shared" si="8"/>
        <v>1.1500000000000001</v>
      </c>
      <c r="E175" s="30">
        <f t="shared" si="5"/>
        <v>0</v>
      </c>
      <c r="F175" s="31">
        <f t="shared" si="6"/>
        <v>0</v>
      </c>
      <c r="G175" s="32">
        <f t="shared" si="7"/>
        <v>0.52173913043478248</v>
      </c>
      <c r="H175" s="34">
        <f t="shared" si="10"/>
        <v>0.52173913043478248</v>
      </c>
      <c r="I175" s="42"/>
      <c r="J175" s="38"/>
      <c r="K175" s="38"/>
      <c r="L175" s="1"/>
      <c r="M175" s="1"/>
      <c r="N175" s="1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40"/>
      <c r="AE175" s="40"/>
    </row>
    <row r="176" spans="1:31" x14ac:dyDescent="0.25">
      <c r="A176" s="2"/>
      <c r="B176" s="1"/>
      <c r="C176" s="22">
        <v>116</v>
      </c>
      <c r="D176" s="34">
        <f t="shared" si="8"/>
        <v>1.1599999999999999</v>
      </c>
      <c r="E176" s="30">
        <f t="shared" si="5"/>
        <v>0</v>
      </c>
      <c r="F176" s="31">
        <f t="shared" si="6"/>
        <v>0</v>
      </c>
      <c r="G176" s="32">
        <f t="shared" si="7"/>
        <v>0.51724137931034475</v>
      </c>
      <c r="H176" s="34">
        <f t="shared" si="10"/>
        <v>0.51724137931034475</v>
      </c>
      <c r="I176" s="42"/>
      <c r="J176" s="38"/>
      <c r="K176" s="38"/>
      <c r="L176" s="1"/>
      <c r="M176" s="1"/>
      <c r="N176" s="1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40"/>
      <c r="AE176" s="40"/>
    </row>
    <row r="177" spans="1:31" x14ac:dyDescent="0.25">
      <c r="A177" s="2"/>
      <c r="B177" s="1"/>
      <c r="C177" s="22">
        <v>117</v>
      </c>
      <c r="D177" s="34">
        <f t="shared" si="8"/>
        <v>1.17</v>
      </c>
      <c r="E177" s="30">
        <f t="shared" si="5"/>
        <v>0</v>
      </c>
      <c r="F177" s="31">
        <f t="shared" si="6"/>
        <v>0</v>
      </c>
      <c r="G177" s="32">
        <f t="shared" si="7"/>
        <v>0.51282051282051277</v>
      </c>
      <c r="H177" s="34">
        <f t="shared" si="10"/>
        <v>0.51282051282051277</v>
      </c>
      <c r="I177" s="42"/>
      <c r="J177" s="38"/>
      <c r="K177" s="38"/>
      <c r="L177" s="1"/>
      <c r="M177" s="1"/>
      <c r="N177" s="1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40"/>
      <c r="AE177" s="40"/>
    </row>
    <row r="178" spans="1:31" x14ac:dyDescent="0.25">
      <c r="A178" s="2"/>
      <c r="B178" s="1"/>
      <c r="C178" s="22">
        <v>118</v>
      </c>
      <c r="D178" s="34">
        <f t="shared" si="8"/>
        <v>1.18</v>
      </c>
      <c r="E178" s="30">
        <f t="shared" si="5"/>
        <v>0</v>
      </c>
      <c r="F178" s="31">
        <f t="shared" si="6"/>
        <v>0</v>
      </c>
      <c r="G178" s="32">
        <f t="shared" si="7"/>
        <v>0.50847457627118631</v>
      </c>
      <c r="H178" s="34">
        <f t="shared" si="10"/>
        <v>0.50847457627118631</v>
      </c>
      <c r="I178" s="42"/>
      <c r="J178" s="38"/>
      <c r="K178" s="38"/>
      <c r="L178" s="1"/>
      <c r="M178" s="1"/>
      <c r="N178" s="1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40"/>
      <c r="AE178" s="40"/>
    </row>
    <row r="179" spans="1:31" x14ac:dyDescent="0.25">
      <c r="A179" s="2"/>
      <c r="B179" s="1"/>
      <c r="C179" s="22">
        <v>119</v>
      </c>
      <c r="D179" s="34">
        <f t="shared" si="8"/>
        <v>1.19</v>
      </c>
      <c r="E179" s="30">
        <f t="shared" si="5"/>
        <v>0</v>
      </c>
      <c r="F179" s="31">
        <f t="shared" si="6"/>
        <v>0</v>
      </c>
      <c r="G179" s="32">
        <f t="shared" si="7"/>
        <v>0.50420168067226878</v>
      </c>
      <c r="H179" s="34">
        <f t="shared" si="10"/>
        <v>0.50420168067226878</v>
      </c>
      <c r="I179" s="42"/>
      <c r="J179" s="38"/>
      <c r="K179" s="38"/>
      <c r="L179" s="1"/>
      <c r="M179" s="1"/>
      <c r="N179" s="1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40"/>
      <c r="AE179" s="40"/>
    </row>
    <row r="180" spans="1:31" x14ac:dyDescent="0.25">
      <c r="A180" s="2"/>
      <c r="B180" s="1"/>
      <c r="C180" s="22">
        <v>120</v>
      </c>
      <c r="D180" s="34">
        <f t="shared" si="8"/>
        <v>1.2</v>
      </c>
      <c r="E180" s="30">
        <f t="shared" si="5"/>
        <v>0</v>
      </c>
      <c r="F180" s="31">
        <f t="shared" si="6"/>
        <v>0</v>
      </c>
      <c r="G180" s="32">
        <f t="shared" si="7"/>
        <v>0.49999999999999989</v>
      </c>
      <c r="H180" s="34">
        <f t="shared" si="10"/>
        <v>0.49999999999999989</v>
      </c>
      <c r="I180" s="42"/>
      <c r="J180" s="38"/>
      <c r="K180" s="38"/>
      <c r="L180" s="1"/>
      <c r="M180" s="1"/>
      <c r="N180" s="1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40"/>
      <c r="AE180" s="40"/>
    </row>
    <row r="181" spans="1:31" x14ac:dyDescent="0.25">
      <c r="A181" s="2"/>
      <c r="B181" s="1"/>
      <c r="C181" s="22">
        <v>121</v>
      </c>
      <c r="D181" s="34">
        <f t="shared" si="8"/>
        <v>1.21</v>
      </c>
      <c r="E181" s="30">
        <f t="shared" si="5"/>
        <v>0</v>
      </c>
      <c r="F181" s="31">
        <f t="shared" si="6"/>
        <v>0</v>
      </c>
      <c r="G181" s="32">
        <f t="shared" si="7"/>
        <v>0.49586776859504123</v>
      </c>
      <c r="H181" s="34">
        <f t="shared" si="10"/>
        <v>0.49586776859504123</v>
      </c>
      <c r="I181" s="42"/>
      <c r="J181" s="38"/>
      <c r="K181" s="38"/>
      <c r="L181" s="1"/>
      <c r="M181" s="1"/>
      <c r="N181" s="1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40"/>
      <c r="AE181" s="40"/>
    </row>
    <row r="182" spans="1:31" x14ac:dyDescent="0.25">
      <c r="A182" s="2"/>
      <c r="B182" s="1"/>
      <c r="C182" s="22">
        <v>122</v>
      </c>
      <c r="D182" s="34">
        <f t="shared" si="8"/>
        <v>1.22</v>
      </c>
      <c r="E182" s="30">
        <f t="shared" si="5"/>
        <v>0</v>
      </c>
      <c r="F182" s="31">
        <f t="shared" si="6"/>
        <v>0</v>
      </c>
      <c r="G182" s="32">
        <f t="shared" si="7"/>
        <v>0.49180327868852447</v>
      </c>
      <c r="H182" s="34">
        <f t="shared" si="10"/>
        <v>0.49180327868852447</v>
      </c>
      <c r="I182" s="42"/>
      <c r="J182" s="38"/>
      <c r="K182" s="38"/>
      <c r="L182" s="1"/>
      <c r="M182" s="1"/>
      <c r="N182" s="1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40"/>
      <c r="AE182" s="40"/>
    </row>
    <row r="183" spans="1:31" x14ac:dyDescent="0.25">
      <c r="A183" s="2"/>
      <c r="B183" s="1"/>
      <c r="C183" s="22">
        <v>123</v>
      </c>
      <c r="D183" s="34">
        <f t="shared" si="8"/>
        <v>1.23</v>
      </c>
      <c r="E183" s="30">
        <f t="shared" si="5"/>
        <v>0</v>
      </c>
      <c r="F183" s="31">
        <f t="shared" si="6"/>
        <v>0</v>
      </c>
      <c r="G183" s="32">
        <f t="shared" si="7"/>
        <v>0.48780487804878037</v>
      </c>
      <c r="H183" s="34">
        <f t="shared" si="10"/>
        <v>0.48780487804878037</v>
      </c>
      <c r="I183" s="42"/>
      <c r="J183" s="38"/>
      <c r="K183" s="38"/>
      <c r="L183" s="1"/>
      <c r="M183" s="1"/>
      <c r="N183" s="1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40"/>
      <c r="AE183" s="40"/>
    </row>
    <row r="184" spans="1:31" x14ac:dyDescent="0.25">
      <c r="A184" s="2"/>
      <c r="B184" s="1"/>
      <c r="C184" s="22">
        <v>124</v>
      </c>
      <c r="D184" s="34">
        <f t="shared" si="8"/>
        <v>1.24</v>
      </c>
      <c r="E184" s="30">
        <f t="shared" si="5"/>
        <v>0</v>
      </c>
      <c r="F184" s="31">
        <f t="shared" si="6"/>
        <v>0</v>
      </c>
      <c r="G184" s="32">
        <f t="shared" si="7"/>
        <v>0.48387096774193539</v>
      </c>
      <c r="H184" s="34">
        <f t="shared" si="10"/>
        <v>0.48387096774193539</v>
      </c>
      <c r="I184" s="42"/>
      <c r="J184" s="38"/>
      <c r="K184" s="38"/>
      <c r="L184" s="1"/>
      <c r="M184" s="1"/>
      <c r="N184" s="1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40"/>
      <c r="AE184" s="40"/>
    </row>
    <row r="185" spans="1:31" x14ac:dyDescent="0.25">
      <c r="A185" s="2"/>
      <c r="B185" s="1"/>
      <c r="C185" s="22">
        <v>125</v>
      </c>
      <c r="D185" s="34">
        <f t="shared" si="8"/>
        <v>1.25</v>
      </c>
      <c r="E185" s="30">
        <f t="shared" si="5"/>
        <v>0</v>
      </c>
      <c r="F185" s="31">
        <f t="shared" si="6"/>
        <v>0</v>
      </c>
      <c r="G185" s="32">
        <f t="shared" si="7"/>
        <v>0.47999999999999987</v>
      </c>
      <c r="H185" s="34">
        <f t="shared" si="10"/>
        <v>0.47999999999999987</v>
      </c>
      <c r="I185" s="42"/>
      <c r="J185" s="38"/>
      <c r="K185" s="38"/>
      <c r="L185" s="1"/>
      <c r="M185" s="1"/>
      <c r="N185" s="1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40"/>
      <c r="AE185" s="40"/>
    </row>
    <row r="186" spans="1:31" x14ac:dyDescent="0.25">
      <c r="A186" s="2"/>
      <c r="B186" s="1"/>
      <c r="C186" s="22">
        <v>126</v>
      </c>
      <c r="D186" s="34">
        <f t="shared" si="8"/>
        <v>1.26</v>
      </c>
      <c r="E186" s="30">
        <f t="shared" si="5"/>
        <v>0</v>
      </c>
      <c r="F186" s="31">
        <f t="shared" si="6"/>
        <v>0</v>
      </c>
      <c r="G186" s="32">
        <f t="shared" si="7"/>
        <v>0.47619047619047611</v>
      </c>
      <c r="H186" s="34">
        <f t="shared" si="10"/>
        <v>0.47619047619047611</v>
      </c>
      <c r="I186" s="42"/>
      <c r="J186" s="38"/>
      <c r="K186" s="38"/>
      <c r="L186" s="1"/>
      <c r="M186" s="1"/>
      <c r="N186" s="1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40"/>
      <c r="AE186" s="40"/>
    </row>
    <row r="187" spans="1:31" x14ac:dyDescent="0.25">
      <c r="A187" s="2"/>
      <c r="B187" s="1"/>
      <c r="C187" s="22">
        <v>127</v>
      </c>
      <c r="D187" s="34">
        <f t="shared" si="8"/>
        <v>1.27</v>
      </c>
      <c r="E187" s="30">
        <f t="shared" si="5"/>
        <v>0</v>
      </c>
      <c r="F187" s="31">
        <f t="shared" si="6"/>
        <v>0</v>
      </c>
      <c r="G187" s="32">
        <f t="shared" si="7"/>
        <v>0.47244094488188965</v>
      </c>
      <c r="H187" s="34">
        <f t="shared" si="10"/>
        <v>0.47244094488188965</v>
      </c>
      <c r="I187" s="42"/>
      <c r="J187" s="38"/>
      <c r="K187" s="38"/>
      <c r="L187" s="1"/>
      <c r="M187" s="1"/>
      <c r="N187" s="1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40"/>
      <c r="AE187" s="40"/>
    </row>
    <row r="188" spans="1:31" x14ac:dyDescent="0.25">
      <c r="A188" s="2"/>
      <c r="B188" s="1"/>
      <c r="C188" s="22">
        <v>128</v>
      </c>
      <c r="D188" s="34">
        <f t="shared" si="8"/>
        <v>1.28</v>
      </c>
      <c r="E188" s="30">
        <f t="shared" ref="E188:E251" si="11">IF(D188&lt;$C$25,0.4+5*D188,0)</f>
        <v>0</v>
      </c>
      <c r="F188" s="31">
        <f t="shared" ref="F188:F251" si="12">IF(AND(D188&gt;=$C$25,D188&lt;=$C$26),$C$12,0)</f>
        <v>0</v>
      </c>
      <c r="G188" s="32">
        <f t="shared" ref="G188:G251" si="13">IF(D188&gt;$C$26,$C$13/D188,0)</f>
        <v>0.46874999999999989</v>
      </c>
      <c r="H188" s="34">
        <f t="shared" si="10"/>
        <v>0.46874999999999989</v>
      </c>
      <c r="I188" s="42"/>
      <c r="J188" s="38"/>
      <c r="K188" s="38"/>
      <c r="L188" s="1"/>
      <c r="M188" s="1"/>
      <c r="N188" s="1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40"/>
      <c r="AE188" s="40"/>
    </row>
    <row r="189" spans="1:31" x14ac:dyDescent="0.25">
      <c r="A189" s="2"/>
      <c r="B189" s="1"/>
      <c r="C189" s="22">
        <v>129</v>
      </c>
      <c r="D189" s="34">
        <f t="shared" ref="D189:D252" si="14">$D$55*C189</f>
        <v>1.29</v>
      </c>
      <c r="E189" s="30">
        <f t="shared" si="11"/>
        <v>0</v>
      </c>
      <c r="F189" s="31">
        <f t="shared" si="12"/>
        <v>0</v>
      </c>
      <c r="G189" s="32">
        <f t="shared" si="13"/>
        <v>0.46511627906976732</v>
      </c>
      <c r="H189" s="34">
        <f t="shared" si="10"/>
        <v>0.46511627906976732</v>
      </c>
      <c r="I189" s="42"/>
      <c r="J189" s="38"/>
      <c r="K189" s="38"/>
      <c r="L189" s="1"/>
      <c r="M189" s="1"/>
      <c r="N189" s="1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40"/>
      <c r="AE189" s="40"/>
    </row>
    <row r="190" spans="1:31" x14ac:dyDescent="0.25">
      <c r="A190" s="2"/>
      <c r="B190" s="1"/>
      <c r="C190" s="22">
        <v>130</v>
      </c>
      <c r="D190" s="34">
        <f t="shared" si="14"/>
        <v>1.3</v>
      </c>
      <c r="E190" s="30">
        <f t="shared" si="11"/>
        <v>0</v>
      </c>
      <c r="F190" s="31">
        <f t="shared" si="12"/>
        <v>0</v>
      </c>
      <c r="G190" s="32">
        <f t="shared" si="13"/>
        <v>0.4615384615384614</v>
      </c>
      <c r="H190" s="34">
        <f t="shared" si="10"/>
        <v>0.4615384615384614</v>
      </c>
      <c r="I190" s="42"/>
      <c r="J190" s="38"/>
      <c r="K190" s="38"/>
      <c r="L190" s="1"/>
      <c r="M190" s="1"/>
      <c r="N190" s="1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40"/>
      <c r="AE190" s="40"/>
    </row>
    <row r="191" spans="1:31" x14ac:dyDescent="0.25">
      <c r="A191" s="2"/>
      <c r="B191" s="1"/>
      <c r="C191" s="22">
        <v>131</v>
      </c>
      <c r="D191" s="34">
        <f t="shared" si="14"/>
        <v>1.31</v>
      </c>
      <c r="E191" s="30">
        <f t="shared" si="11"/>
        <v>0</v>
      </c>
      <c r="F191" s="31">
        <f t="shared" si="12"/>
        <v>0</v>
      </c>
      <c r="G191" s="32">
        <f t="shared" si="13"/>
        <v>0.45801526717557239</v>
      </c>
      <c r="H191" s="34">
        <f t="shared" si="10"/>
        <v>0.45801526717557239</v>
      </c>
      <c r="I191" s="42"/>
      <c r="J191" s="38"/>
      <c r="K191" s="38"/>
      <c r="L191" s="1"/>
      <c r="M191" s="1"/>
      <c r="N191" s="1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40"/>
      <c r="AE191" s="40"/>
    </row>
    <row r="192" spans="1:31" x14ac:dyDescent="0.25">
      <c r="A192" s="2"/>
      <c r="B192" s="1"/>
      <c r="C192" s="22">
        <v>132</v>
      </c>
      <c r="D192" s="34">
        <f t="shared" si="14"/>
        <v>1.32</v>
      </c>
      <c r="E192" s="30">
        <f t="shared" si="11"/>
        <v>0</v>
      </c>
      <c r="F192" s="31">
        <f t="shared" si="12"/>
        <v>0</v>
      </c>
      <c r="G192" s="32">
        <f t="shared" si="13"/>
        <v>0.45454545454545442</v>
      </c>
      <c r="H192" s="34">
        <f t="shared" si="10"/>
        <v>0.45454545454545442</v>
      </c>
      <c r="I192" s="42"/>
      <c r="J192" s="38"/>
      <c r="K192" s="38"/>
      <c r="L192" s="1"/>
      <c r="M192" s="1"/>
      <c r="N192" s="1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40"/>
      <c r="AE192" s="40"/>
    </row>
    <row r="193" spans="1:31" x14ac:dyDescent="0.25">
      <c r="A193" s="2"/>
      <c r="B193" s="1"/>
      <c r="C193" s="22">
        <v>133</v>
      </c>
      <c r="D193" s="34">
        <f t="shared" si="14"/>
        <v>1.33</v>
      </c>
      <c r="E193" s="30">
        <f t="shared" si="11"/>
        <v>0</v>
      </c>
      <c r="F193" s="31">
        <f t="shared" si="12"/>
        <v>0</v>
      </c>
      <c r="G193" s="32">
        <f t="shared" si="13"/>
        <v>0.45112781954887204</v>
      </c>
      <c r="H193" s="34">
        <f t="shared" si="10"/>
        <v>0.45112781954887204</v>
      </c>
      <c r="I193" s="42"/>
      <c r="J193" s="38"/>
      <c r="K193" s="38"/>
      <c r="L193" s="1"/>
      <c r="M193" s="1"/>
      <c r="N193" s="1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40"/>
      <c r="AE193" s="40"/>
    </row>
    <row r="194" spans="1:31" x14ac:dyDescent="0.25">
      <c r="A194" s="2"/>
      <c r="B194" s="1"/>
      <c r="C194" s="22">
        <v>134</v>
      </c>
      <c r="D194" s="34">
        <f t="shared" si="14"/>
        <v>1.34</v>
      </c>
      <c r="E194" s="30">
        <f t="shared" si="11"/>
        <v>0</v>
      </c>
      <c r="F194" s="31">
        <f t="shared" si="12"/>
        <v>0</v>
      </c>
      <c r="G194" s="32">
        <f t="shared" si="13"/>
        <v>0.4477611940298506</v>
      </c>
      <c r="H194" s="34">
        <f t="shared" si="10"/>
        <v>0.4477611940298506</v>
      </c>
      <c r="I194" s="42"/>
      <c r="J194" s="38"/>
      <c r="K194" s="38"/>
      <c r="L194" s="1"/>
      <c r="M194" s="1"/>
      <c r="N194" s="1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40"/>
      <c r="AE194" s="40"/>
    </row>
    <row r="195" spans="1:31" x14ac:dyDescent="0.25">
      <c r="A195" s="2"/>
      <c r="B195" s="1"/>
      <c r="C195" s="22">
        <v>135</v>
      </c>
      <c r="D195" s="34">
        <f t="shared" si="14"/>
        <v>1.35</v>
      </c>
      <c r="E195" s="30">
        <f t="shared" si="11"/>
        <v>0</v>
      </c>
      <c r="F195" s="31">
        <f t="shared" si="12"/>
        <v>0</v>
      </c>
      <c r="G195" s="32">
        <f t="shared" si="13"/>
        <v>0.44444444444444431</v>
      </c>
      <c r="H195" s="34">
        <f t="shared" si="10"/>
        <v>0.44444444444444431</v>
      </c>
      <c r="I195" s="42"/>
      <c r="J195" s="38"/>
      <c r="K195" s="38"/>
      <c r="L195" s="1"/>
      <c r="M195" s="1"/>
      <c r="N195" s="1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40"/>
      <c r="AE195" s="40"/>
    </row>
    <row r="196" spans="1:31" x14ac:dyDescent="0.25">
      <c r="A196" s="2"/>
      <c r="B196" s="1"/>
      <c r="C196" s="22">
        <v>136</v>
      </c>
      <c r="D196" s="34">
        <f t="shared" si="14"/>
        <v>1.36</v>
      </c>
      <c r="E196" s="30">
        <f t="shared" si="11"/>
        <v>0</v>
      </c>
      <c r="F196" s="31">
        <f t="shared" si="12"/>
        <v>0</v>
      </c>
      <c r="G196" s="32">
        <f t="shared" si="13"/>
        <v>0.44117647058823517</v>
      </c>
      <c r="H196" s="34">
        <f t="shared" si="10"/>
        <v>0.44117647058823517</v>
      </c>
      <c r="I196" s="42"/>
      <c r="J196" s="38"/>
      <c r="K196" s="38"/>
      <c r="L196" s="1"/>
      <c r="M196" s="1"/>
      <c r="N196" s="1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40"/>
      <c r="AE196" s="40"/>
    </row>
    <row r="197" spans="1:31" x14ac:dyDescent="0.25">
      <c r="A197" s="2"/>
      <c r="B197" s="1"/>
      <c r="C197" s="22">
        <v>137</v>
      </c>
      <c r="D197" s="34">
        <f t="shared" si="14"/>
        <v>1.37</v>
      </c>
      <c r="E197" s="30">
        <f t="shared" si="11"/>
        <v>0</v>
      </c>
      <c r="F197" s="31">
        <f t="shared" si="12"/>
        <v>0</v>
      </c>
      <c r="G197" s="32">
        <f t="shared" si="13"/>
        <v>0.4379562043795619</v>
      </c>
      <c r="H197" s="34">
        <f t="shared" si="10"/>
        <v>0.4379562043795619</v>
      </c>
      <c r="I197" s="42"/>
      <c r="J197" s="38"/>
      <c r="K197" s="38"/>
      <c r="L197" s="1"/>
      <c r="M197" s="1"/>
      <c r="N197" s="1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40"/>
      <c r="AE197" s="40"/>
    </row>
    <row r="198" spans="1:31" x14ac:dyDescent="0.25">
      <c r="A198" s="2"/>
      <c r="B198" s="1"/>
      <c r="C198" s="22">
        <v>138</v>
      </c>
      <c r="D198" s="34">
        <f t="shared" si="14"/>
        <v>1.3800000000000001</v>
      </c>
      <c r="E198" s="30">
        <f t="shared" si="11"/>
        <v>0</v>
      </c>
      <c r="F198" s="31">
        <f t="shared" si="12"/>
        <v>0</v>
      </c>
      <c r="G198" s="32">
        <f t="shared" si="13"/>
        <v>0.43478260869565205</v>
      </c>
      <c r="H198" s="34">
        <f t="shared" si="10"/>
        <v>0.43478260869565205</v>
      </c>
      <c r="I198" s="42"/>
      <c r="J198" s="38"/>
      <c r="K198" s="38"/>
      <c r="L198" s="1"/>
      <c r="M198" s="1"/>
      <c r="N198" s="1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40"/>
      <c r="AE198" s="40"/>
    </row>
    <row r="199" spans="1:31" x14ac:dyDescent="0.25">
      <c r="A199" s="2"/>
      <c r="B199" s="1"/>
      <c r="C199" s="22">
        <v>139</v>
      </c>
      <c r="D199" s="34">
        <f t="shared" si="14"/>
        <v>1.3900000000000001</v>
      </c>
      <c r="E199" s="30">
        <f t="shared" si="11"/>
        <v>0</v>
      </c>
      <c r="F199" s="31">
        <f t="shared" si="12"/>
        <v>0</v>
      </c>
      <c r="G199" s="32">
        <f t="shared" si="13"/>
        <v>0.43165467625899268</v>
      </c>
      <c r="H199" s="34">
        <f t="shared" si="10"/>
        <v>0.43165467625899268</v>
      </c>
      <c r="I199" s="42"/>
      <c r="J199" s="38"/>
      <c r="K199" s="38"/>
      <c r="L199" s="1"/>
      <c r="M199" s="1"/>
      <c r="N199" s="1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40"/>
      <c r="AE199" s="40"/>
    </row>
    <row r="200" spans="1:31" x14ac:dyDescent="0.25">
      <c r="A200" s="2"/>
      <c r="B200" s="1"/>
      <c r="C200" s="22">
        <v>140</v>
      </c>
      <c r="D200" s="34">
        <f t="shared" si="14"/>
        <v>1.4000000000000001</v>
      </c>
      <c r="E200" s="30">
        <f t="shared" si="11"/>
        <v>0</v>
      </c>
      <c r="F200" s="31">
        <f t="shared" si="12"/>
        <v>0</v>
      </c>
      <c r="G200" s="32">
        <f t="shared" si="13"/>
        <v>0.42857142857142844</v>
      </c>
      <c r="H200" s="34">
        <f t="shared" si="10"/>
        <v>0.42857142857142844</v>
      </c>
      <c r="I200" s="42"/>
      <c r="J200" s="38"/>
      <c r="K200" s="38"/>
      <c r="L200" s="1"/>
      <c r="M200" s="1"/>
      <c r="N200" s="1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40"/>
      <c r="AE200" s="40"/>
    </row>
    <row r="201" spans="1:31" x14ac:dyDescent="0.25">
      <c r="A201" s="2"/>
      <c r="B201" s="1"/>
      <c r="C201" s="22">
        <v>141</v>
      </c>
      <c r="D201" s="34">
        <f t="shared" si="14"/>
        <v>1.41</v>
      </c>
      <c r="E201" s="30">
        <f t="shared" si="11"/>
        <v>0</v>
      </c>
      <c r="F201" s="31">
        <f t="shared" si="12"/>
        <v>0</v>
      </c>
      <c r="G201" s="32">
        <f t="shared" si="13"/>
        <v>0.42553191489361697</v>
      </c>
      <c r="H201" s="34">
        <f t="shared" si="10"/>
        <v>0.42553191489361697</v>
      </c>
      <c r="I201" s="42"/>
      <c r="J201" s="38"/>
      <c r="K201" s="38"/>
      <c r="L201" s="1"/>
      <c r="M201" s="1"/>
      <c r="N201" s="1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40"/>
      <c r="AE201" s="40"/>
    </row>
    <row r="202" spans="1:31" x14ac:dyDescent="0.25">
      <c r="A202" s="2"/>
      <c r="B202" s="1"/>
      <c r="C202" s="22">
        <v>142</v>
      </c>
      <c r="D202" s="34">
        <f t="shared" si="14"/>
        <v>1.42</v>
      </c>
      <c r="E202" s="30">
        <f t="shared" si="11"/>
        <v>0</v>
      </c>
      <c r="F202" s="31">
        <f t="shared" si="12"/>
        <v>0</v>
      </c>
      <c r="G202" s="32">
        <f t="shared" si="13"/>
        <v>0.42253521126760557</v>
      </c>
      <c r="H202" s="34">
        <f t="shared" si="10"/>
        <v>0.42253521126760557</v>
      </c>
      <c r="I202" s="42"/>
      <c r="J202" s="38"/>
      <c r="K202" s="38"/>
      <c r="L202" s="1"/>
      <c r="M202" s="1"/>
      <c r="N202" s="1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40"/>
      <c r="AE202" s="40"/>
    </row>
    <row r="203" spans="1:31" x14ac:dyDescent="0.25">
      <c r="A203" s="2"/>
      <c r="B203" s="1"/>
      <c r="C203" s="22">
        <v>143</v>
      </c>
      <c r="D203" s="34">
        <f t="shared" si="14"/>
        <v>1.43</v>
      </c>
      <c r="E203" s="30">
        <f t="shared" si="11"/>
        <v>0</v>
      </c>
      <c r="F203" s="31">
        <f t="shared" si="12"/>
        <v>0</v>
      </c>
      <c r="G203" s="32">
        <f t="shared" si="13"/>
        <v>0.41958041958041953</v>
      </c>
      <c r="H203" s="34">
        <f t="shared" si="10"/>
        <v>0.41958041958041953</v>
      </c>
      <c r="I203" s="42"/>
      <c r="J203" s="38"/>
      <c r="K203" s="38"/>
      <c r="L203" s="1"/>
      <c r="M203" s="1"/>
      <c r="N203" s="1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40"/>
      <c r="AE203" s="40"/>
    </row>
    <row r="204" spans="1:31" x14ac:dyDescent="0.25">
      <c r="A204" s="2"/>
      <c r="B204" s="1"/>
      <c r="C204" s="22">
        <v>144</v>
      </c>
      <c r="D204" s="34">
        <f t="shared" si="14"/>
        <v>1.44</v>
      </c>
      <c r="E204" s="30">
        <f t="shared" si="11"/>
        <v>0</v>
      </c>
      <c r="F204" s="31">
        <f t="shared" si="12"/>
        <v>0</v>
      </c>
      <c r="G204" s="32">
        <f t="shared" si="13"/>
        <v>0.41666666666666657</v>
      </c>
      <c r="H204" s="34">
        <f t="shared" si="10"/>
        <v>0.41666666666666657</v>
      </c>
      <c r="I204" s="42"/>
      <c r="J204" s="38"/>
      <c r="K204" s="38"/>
      <c r="L204" s="1"/>
      <c r="M204" s="1"/>
      <c r="N204" s="1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40"/>
      <c r="AE204" s="40"/>
    </row>
    <row r="205" spans="1:31" x14ac:dyDescent="0.25">
      <c r="A205" s="2"/>
      <c r="B205" s="1"/>
      <c r="C205" s="22">
        <v>145</v>
      </c>
      <c r="D205" s="34">
        <f t="shared" si="14"/>
        <v>1.45</v>
      </c>
      <c r="E205" s="30">
        <f t="shared" si="11"/>
        <v>0</v>
      </c>
      <c r="F205" s="31">
        <f t="shared" si="12"/>
        <v>0</v>
      </c>
      <c r="G205" s="32">
        <f t="shared" si="13"/>
        <v>0.4137931034482758</v>
      </c>
      <c r="H205" s="34">
        <f t="shared" si="10"/>
        <v>0.4137931034482758</v>
      </c>
      <c r="I205" s="42"/>
      <c r="J205" s="38"/>
      <c r="K205" s="38"/>
      <c r="L205" s="1"/>
      <c r="M205" s="1"/>
      <c r="N205" s="1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40"/>
      <c r="AE205" s="40"/>
    </row>
    <row r="206" spans="1:31" x14ac:dyDescent="0.25">
      <c r="A206" s="2"/>
      <c r="B206" s="1"/>
      <c r="C206" s="22">
        <v>146</v>
      </c>
      <c r="D206" s="34">
        <f t="shared" si="14"/>
        <v>1.46</v>
      </c>
      <c r="E206" s="30">
        <f t="shared" si="11"/>
        <v>0</v>
      </c>
      <c r="F206" s="31">
        <f t="shared" si="12"/>
        <v>0</v>
      </c>
      <c r="G206" s="32">
        <f t="shared" si="13"/>
        <v>0.41095890410958896</v>
      </c>
      <c r="H206" s="34">
        <f t="shared" si="10"/>
        <v>0.41095890410958896</v>
      </c>
      <c r="I206" s="42"/>
      <c r="J206" s="38"/>
      <c r="K206" s="38"/>
      <c r="L206" s="1"/>
      <c r="M206" s="1"/>
      <c r="N206" s="1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40"/>
      <c r="AE206" s="40"/>
    </row>
    <row r="207" spans="1:31" x14ac:dyDescent="0.25">
      <c r="A207" s="2"/>
      <c r="B207" s="1"/>
      <c r="C207" s="22">
        <v>147</v>
      </c>
      <c r="D207" s="34">
        <f t="shared" si="14"/>
        <v>1.47</v>
      </c>
      <c r="E207" s="30">
        <f t="shared" si="11"/>
        <v>0</v>
      </c>
      <c r="F207" s="31">
        <f t="shared" si="12"/>
        <v>0</v>
      </c>
      <c r="G207" s="32">
        <f t="shared" si="13"/>
        <v>0.40816326530612235</v>
      </c>
      <c r="H207" s="34">
        <f t="shared" si="10"/>
        <v>0.40816326530612235</v>
      </c>
      <c r="I207" s="42"/>
      <c r="J207" s="38"/>
      <c r="K207" s="38"/>
      <c r="L207" s="1"/>
      <c r="M207" s="1"/>
      <c r="N207" s="1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40"/>
      <c r="AE207" s="40"/>
    </row>
    <row r="208" spans="1:31" x14ac:dyDescent="0.25">
      <c r="A208" s="2"/>
      <c r="B208" s="1"/>
      <c r="C208" s="22">
        <v>148</v>
      </c>
      <c r="D208" s="34">
        <f t="shared" si="14"/>
        <v>1.48</v>
      </c>
      <c r="E208" s="30">
        <f t="shared" si="11"/>
        <v>0</v>
      </c>
      <c r="F208" s="31">
        <f t="shared" si="12"/>
        <v>0</v>
      </c>
      <c r="G208" s="32">
        <f t="shared" si="13"/>
        <v>0.40540540540540532</v>
      </c>
      <c r="H208" s="34">
        <f t="shared" si="10"/>
        <v>0.40540540540540532</v>
      </c>
      <c r="I208" s="42"/>
      <c r="J208" s="38"/>
      <c r="K208" s="38"/>
      <c r="L208" s="1"/>
      <c r="M208" s="1"/>
      <c r="N208" s="1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40"/>
      <c r="AE208" s="40"/>
    </row>
    <row r="209" spans="1:31" x14ac:dyDescent="0.25">
      <c r="A209" s="2"/>
      <c r="B209" s="1"/>
      <c r="C209" s="22">
        <v>149</v>
      </c>
      <c r="D209" s="34">
        <f t="shared" si="14"/>
        <v>1.49</v>
      </c>
      <c r="E209" s="30">
        <f t="shared" si="11"/>
        <v>0</v>
      </c>
      <c r="F209" s="31">
        <f t="shared" si="12"/>
        <v>0</v>
      </c>
      <c r="G209" s="32">
        <f t="shared" si="13"/>
        <v>0.40268456375838918</v>
      </c>
      <c r="H209" s="34">
        <f t="shared" si="10"/>
        <v>0.40268456375838918</v>
      </c>
      <c r="I209" s="42"/>
      <c r="J209" s="38"/>
      <c r="K209" s="38"/>
      <c r="L209" s="1"/>
      <c r="M209" s="1"/>
      <c r="N209" s="1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40"/>
      <c r="AE209" s="40"/>
    </row>
    <row r="210" spans="1:31" x14ac:dyDescent="0.25">
      <c r="A210" s="2"/>
      <c r="B210" s="1"/>
      <c r="C210" s="22">
        <v>150</v>
      </c>
      <c r="D210" s="34">
        <f t="shared" si="14"/>
        <v>1.5</v>
      </c>
      <c r="E210" s="30">
        <f t="shared" si="11"/>
        <v>0</v>
      </c>
      <c r="F210" s="31">
        <f t="shared" si="12"/>
        <v>0</v>
      </c>
      <c r="G210" s="32">
        <f t="shared" si="13"/>
        <v>0.39999999999999991</v>
      </c>
      <c r="H210" s="34">
        <f t="shared" si="10"/>
        <v>0.39999999999999991</v>
      </c>
      <c r="I210" s="42"/>
      <c r="J210" s="38"/>
      <c r="K210" s="38"/>
      <c r="L210" s="1"/>
      <c r="M210" s="1"/>
      <c r="N210" s="1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40"/>
      <c r="AE210" s="40"/>
    </row>
    <row r="211" spans="1:31" x14ac:dyDescent="0.25">
      <c r="A211" s="2"/>
      <c r="B211" s="1"/>
      <c r="C211" s="22">
        <v>151</v>
      </c>
      <c r="D211" s="34">
        <f t="shared" si="14"/>
        <v>1.51</v>
      </c>
      <c r="E211" s="30">
        <f t="shared" si="11"/>
        <v>0</v>
      </c>
      <c r="F211" s="31">
        <f t="shared" si="12"/>
        <v>0</v>
      </c>
      <c r="G211" s="32">
        <f t="shared" si="13"/>
        <v>0.39735099337748336</v>
      </c>
      <c r="H211" s="34">
        <f t="shared" si="10"/>
        <v>0.39735099337748336</v>
      </c>
      <c r="I211" s="42"/>
      <c r="J211" s="38"/>
      <c r="K211" s="38"/>
      <c r="L211" s="1"/>
      <c r="M211" s="1"/>
      <c r="N211" s="1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40"/>
      <c r="AE211" s="40"/>
    </row>
    <row r="212" spans="1:31" x14ac:dyDescent="0.25">
      <c r="A212" s="2"/>
      <c r="B212" s="1"/>
      <c r="C212" s="22">
        <v>152</v>
      </c>
      <c r="D212" s="34">
        <f t="shared" si="14"/>
        <v>1.52</v>
      </c>
      <c r="E212" s="30">
        <f t="shared" si="11"/>
        <v>0</v>
      </c>
      <c r="F212" s="31">
        <f t="shared" si="12"/>
        <v>0</v>
      </c>
      <c r="G212" s="32">
        <f t="shared" si="13"/>
        <v>0.39473684210526305</v>
      </c>
      <c r="H212" s="34">
        <f t="shared" si="10"/>
        <v>0.39473684210526305</v>
      </c>
      <c r="I212" s="42"/>
      <c r="J212" s="38"/>
      <c r="K212" s="38"/>
      <c r="L212" s="1"/>
      <c r="M212" s="1"/>
      <c r="N212" s="1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40"/>
      <c r="AE212" s="40"/>
    </row>
    <row r="213" spans="1:31" x14ac:dyDescent="0.25">
      <c r="A213" s="2"/>
      <c r="B213" s="1"/>
      <c r="C213" s="22">
        <v>153</v>
      </c>
      <c r="D213" s="34">
        <f t="shared" si="14"/>
        <v>1.53</v>
      </c>
      <c r="E213" s="30">
        <f t="shared" si="11"/>
        <v>0</v>
      </c>
      <c r="F213" s="31">
        <f t="shared" si="12"/>
        <v>0</v>
      </c>
      <c r="G213" s="32">
        <f t="shared" si="13"/>
        <v>0.39215686274509792</v>
      </c>
      <c r="H213" s="34">
        <f t="shared" si="10"/>
        <v>0.39215686274509792</v>
      </c>
      <c r="I213" s="42"/>
      <c r="J213" s="38"/>
      <c r="K213" s="38"/>
      <c r="L213" s="1"/>
      <c r="M213" s="1"/>
      <c r="N213" s="1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40"/>
      <c r="AE213" s="40"/>
    </row>
    <row r="214" spans="1:31" x14ac:dyDescent="0.25">
      <c r="A214" s="2"/>
      <c r="B214" s="1"/>
      <c r="C214" s="22">
        <v>154</v>
      </c>
      <c r="D214" s="34">
        <f t="shared" si="14"/>
        <v>1.54</v>
      </c>
      <c r="E214" s="30">
        <f t="shared" si="11"/>
        <v>0</v>
      </c>
      <c r="F214" s="31">
        <f t="shared" si="12"/>
        <v>0</v>
      </c>
      <c r="G214" s="32">
        <f t="shared" si="13"/>
        <v>0.38961038961038952</v>
      </c>
      <c r="H214" s="34">
        <f t="shared" si="10"/>
        <v>0.38961038961038952</v>
      </c>
      <c r="I214" s="42"/>
      <c r="J214" s="38"/>
      <c r="K214" s="38"/>
      <c r="L214" s="1"/>
      <c r="M214" s="1"/>
      <c r="N214" s="1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40"/>
      <c r="AE214" s="40"/>
    </row>
    <row r="215" spans="1:31" x14ac:dyDescent="0.25">
      <c r="A215" s="2"/>
      <c r="B215" s="1"/>
      <c r="C215" s="22">
        <v>155</v>
      </c>
      <c r="D215" s="34">
        <f t="shared" si="14"/>
        <v>1.55</v>
      </c>
      <c r="E215" s="30">
        <f t="shared" si="11"/>
        <v>0</v>
      </c>
      <c r="F215" s="31">
        <f t="shared" si="12"/>
        <v>0</v>
      </c>
      <c r="G215" s="32">
        <f t="shared" si="13"/>
        <v>0.38709677419354827</v>
      </c>
      <c r="H215" s="34">
        <f t="shared" si="10"/>
        <v>0.38709677419354827</v>
      </c>
      <c r="I215" s="42"/>
      <c r="J215" s="38"/>
      <c r="K215" s="38"/>
      <c r="L215" s="1"/>
      <c r="M215" s="1"/>
      <c r="N215" s="1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40"/>
      <c r="AE215" s="40"/>
    </row>
    <row r="216" spans="1:31" x14ac:dyDescent="0.25">
      <c r="A216" s="2"/>
      <c r="B216" s="1"/>
      <c r="C216" s="22">
        <v>156</v>
      </c>
      <c r="D216" s="34">
        <f t="shared" si="14"/>
        <v>1.56</v>
      </c>
      <c r="E216" s="30">
        <f t="shared" si="11"/>
        <v>0</v>
      </c>
      <c r="F216" s="31">
        <f t="shared" si="12"/>
        <v>0</v>
      </c>
      <c r="G216" s="32">
        <f t="shared" si="13"/>
        <v>0.38461538461538453</v>
      </c>
      <c r="H216" s="34">
        <f t="shared" si="10"/>
        <v>0.38461538461538453</v>
      </c>
      <c r="I216" s="42"/>
      <c r="J216" s="38"/>
      <c r="K216" s="38"/>
      <c r="L216" s="1"/>
      <c r="M216" s="1"/>
      <c r="N216" s="1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40"/>
      <c r="AE216" s="40"/>
    </row>
    <row r="217" spans="1:31" x14ac:dyDescent="0.25">
      <c r="A217" s="2"/>
      <c r="B217" s="1"/>
      <c r="C217" s="22">
        <v>157</v>
      </c>
      <c r="D217" s="34">
        <f t="shared" si="14"/>
        <v>1.57</v>
      </c>
      <c r="E217" s="30">
        <f t="shared" si="11"/>
        <v>0</v>
      </c>
      <c r="F217" s="31">
        <f t="shared" si="12"/>
        <v>0</v>
      </c>
      <c r="G217" s="32">
        <f t="shared" si="13"/>
        <v>0.38216560509554132</v>
      </c>
      <c r="H217" s="34">
        <f t="shared" si="10"/>
        <v>0.38216560509554132</v>
      </c>
      <c r="I217" s="42"/>
      <c r="J217" s="38"/>
      <c r="K217" s="38"/>
      <c r="L217" s="1"/>
      <c r="M217" s="1"/>
      <c r="N217" s="1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40"/>
      <c r="AE217" s="40"/>
    </row>
    <row r="218" spans="1:31" x14ac:dyDescent="0.25">
      <c r="A218" s="2"/>
      <c r="B218" s="1"/>
      <c r="C218" s="22">
        <v>158</v>
      </c>
      <c r="D218" s="34">
        <f t="shared" si="14"/>
        <v>1.58</v>
      </c>
      <c r="E218" s="30">
        <f t="shared" si="11"/>
        <v>0</v>
      </c>
      <c r="F218" s="31">
        <f t="shared" si="12"/>
        <v>0</v>
      </c>
      <c r="G218" s="32">
        <f t="shared" si="13"/>
        <v>0.37974683544303789</v>
      </c>
      <c r="H218" s="34">
        <f t="shared" si="10"/>
        <v>0.37974683544303789</v>
      </c>
      <c r="I218" s="42"/>
      <c r="J218" s="38"/>
      <c r="K218" s="38"/>
      <c r="L218" s="1"/>
      <c r="M218" s="1"/>
      <c r="N218" s="1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40"/>
      <c r="AE218" s="40"/>
    </row>
    <row r="219" spans="1:31" x14ac:dyDescent="0.25">
      <c r="A219" s="2"/>
      <c r="B219" s="1"/>
      <c r="C219" s="22">
        <v>159</v>
      </c>
      <c r="D219" s="34">
        <f t="shared" si="14"/>
        <v>1.59</v>
      </c>
      <c r="E219" s="30">
        <f t="shared" si="11"/>
        <v>0</v>
      </c>
      <c r="F219" s="31">
        <f t="shared" si="12"/>
        <v>0</v>
      </c>
      <c r="G219" s="32">
        <f t="shared" si="13"/>
        <v>0.37735849056603765</v>
      </c>
      <c r="H219" s="34">
        <f t="shared" si="10"/>
        <v>0.37735849056603765</v>
      </c>
      <c r="I219" s="42"/>
      <c r="J219" s="38"/>
      <c r="K219" s="38"/>
      <c r="L219" s="1"/>
      <c r="M219" s="1"/>
      <c r="N219" s="1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40"/>
      <c r="AE219" s="40"/>
    </row>
    <row r="220" spans="1:31" x14ac:dyDescent="0.25">
      <c r="A220" s="2"/>
      <c r="B220" s="1"/>
      <c r="C220" s="22">
        <v>160</v>
      </c>
      <c r="D220" s="34">
        <f t="shared" si="14"/>
        <v>1.6</v>
      </c>
      <c r="E220" s="30">
        <f t="shared" si="11"/>
        <v>0</v>
      </c>
      <c r="F220" s="31">
        <f t="shared" si="12"/>
        <v>0</v>
      </c>
      <c r="G220" s="32">
        <f t="shared" si="13"/>
        <v>0.37499999999999989</v>
      </c>
      <c r="H220" s="34">
        <f t="shared" si="10"/>
        <v>0.37499999999999989</v>
      </c>
      <c r="I220" s="42"/>
      <c r="J220" s="38"/>
      <c r="K220" s="38"/>
      <c r="L220" s="1"/>
      <c r="M220" s="1"/>
      <c r="N220" s="1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40"/>
      <c r="AE220" s="40"/>
    </row>
    <row r="221" spans="1:31" x14ac:dyDescent="0.25">
      <c r="A221" s="2"/>
      <c r="B221" s="1"/>
      <c r="C221" s="22">
        <v>161</v>
      </c>
      <c r="D221" s="34">
        <f t="shared" si="14"/>
        <v>1.61</v>
      </c>
      <c r="E221" s="30">
        <f t="shared" si="11"/>
        <v>0</v>
      </c>
      <c r="F221" s="31">
        <f t="shared" si="12"/>
        <v>0</v>
      </c>
      <c r="G221" s="32">
        <f t="shared" si="13"/>
        <v>0.37267080745341602</v>
      </c>
      <c r="H221" s="34">
        <f t="shared" si="10"/>
        <v>0.37267080745341602</v>
      </c>
      <c r="I221" s="42"/>
      <c r="J221" s="38"/>
      <c r="K221" s="38"/>
      <c r="L221" s="1"/>
      <c r="M221" s="1"/>
      <c r="N221" s="1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40"/>
      <c r="AE221" s="40"/>
    </row>
    <row r="222" spans="1:31" x14ac:dyDescent="0.25">
      <c r="A222" s="2"/>
      <c r="B222" s="1"/>
      <c r="C222" s="22">
        <v>162</v>
      </c>
      <c r="D222" s="34">
        <f t="shared" si="14"/>
        <v>1.62</v>
      </c>
      <c r="E222" s="30">
        <f t="shared" si="11"/>
        <v>0</v>
      </c>
      <c r="F222" s="31">
        <f t="shared" si="12"/>
        <v>0</v>
      </c>
      <c r="G222" s="32">
        <f t="shared" si="13"/>
        <v>0.37037037037037024</v>
      </c>
      <c r="H222" s="34">
        <f t="shared" si="10"/>
        <v>0.37037037037037024</v>
      </c>
      <c r="I222" s="42"/>
      <c r="J222" s="38"/>
      <c r="K222" s="38"/>
      <c r="L222" s="1"/>
      <c r="M222" s="1"/>
      <c r="N222" s="1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40"/>
      <c r="AE222" s="40"/>
    </row>
    <row r="223" spans="1:31" x14ac:dyDescent="0.25">
      <c r="A223" s="2"/>
      <c r="B223" s="1"/>
      <c r="C223" s="22">
        <v>163</v>
      </c>
      <c r="D223" s="34">
        <f t="shared" si="14"/>
        <v>1.6300000000000001</v>
      </c>
      <c r="E223" s="30">
        <f t="shared" si="11"/>
        <v>0</v>
      </c>
      <c r="F223" s="31">
        <f t="shared" si="12"/>
        <v>0</v>
      </c>
      <c r="G223" s="32">
        <f t="shared" si="13"/>
        <v>0.36809815950920233</v>
      </c>
      <c r="H223" s="34">
        <f t="shared" si="10"/>
        <v>0.36809815950920233</v>
      </c>
      <c r="I223" s="42"/>
      <c r="J223" s="38"/>
      <c r="K223" s="38"/>
      <c r="L223" s="1"/>
      <c r="M223" s="1"/>
      <c r="N223" s="1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40"/>
      <c r="AE223" s="40"/>
    </row>
    <row r="224" spans="1:31" x14ac:dyDescent="0.25">
      <c r="A224" s="2"/>
      <c r="B224" s="1"/>
      <c r="C224" s="22">
        <v>164</v>
      </c>
      <c r="D224" s="34">
        <f t="shared" si="14"/>
        <v>1.6400000000000001</v>
      </c>
      <c r="E224" s="30">
        <f t="shared" si="11"/>
        <v>0</v>
      </c>
      <c r="F224" s="31">
        <f t="shared" si="12"/>
        <v>0</v>
      </c>
      <c r="G224" s="32">
        <f t="shared" si="13"/>
        <v>0.36585365853658525</v>
      </c>
      <c r="H224" s="34">
        <f t="shared" si="10"/>
        <v>0.36585365853658525</v>
      </c>
      <c r="I224" s="42"/>
      <c r="J224" s="38"/>
      <c r="K224" s="38"/>
      <c r="L224" s="1"/>
      <c r="M224" s="1"/>
      <c r="N224" s="1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40"/>
      <c r="AE224" s="40"/>
    </row>
    <row r="225" spans="1:31" x14ac:dyDescent="0.25">
      <c r="A225" s="2"/>
      <c r="B225" s="1"/>
      <c r="C225" s="22">
        <v>165</v>
      </c>
      <c r="D225" s="34">
        <f t="shared" si="14"/>
        <v>1.6500000000000001</v>
      </c>
      <c r="E225" s="30">
        <f t="shared" si="11"/>
        <v>0</v>
      </c>
      <c r="F225" s="31">
        <f t="shared" si="12"/>
        <v>0</v>
      </c>
      <c r="G225" s="32">
        <f t="shared" si="13"/>
        <v>0.36363636363636354</v>
      </c>
      <c r="H225" s="34">
        <f t="shared" ref="H225:H288" si="15">SUM(E225:G225)</f>
        <v>0.36363636363636354</v>
      </c>
      <c r="I225" s="42"/>
      <c r="J225" s="38"/>
      <c r="K225" s="38"/>
      <c r="L225" s="1"/>
      <c r="M225" s="1"/>
      <c r="N225" s="1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40"/>
      <c r="AE225" s="40"/>
    </row>
    <row r="226" spans="1:31" x14ac:dyDescent="0.25">
      <c r="A226" s="2"/>
      <c r="B226" s="1"/>
      <c r="C226" s="22">
        <v>166</v>
      </c>
      <c r="D226" s="34">
        <f t="shared" si="14"/>
        <v>1.6600000000000001</v>
      </c>
      <c r="E226" s="30">
        <f t="shared" si="11"/>
        <v>0</v>
      </c>
      <c r="F226" s="31">
        <f t="shared" si="12"/>
        <v>0</v>
      </c>
      <c r="G226" s="32">
        <f t="shared" si="13"/>
        <v>0.36144578313253001</v>
      </c>
      <c r="H226" s="34">
        <f t="shared" si="15"/>
        <v>0.36144578313253001</v>
      </c>
      <c r="I226" s="42"/>
      <c r="J226" s="38"/>
      <c r="K226" s="38"/>
      <c r="L226" s="1"/>
      <c r="M226" s="1"/>
      <c r="N226" s="1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40"/>
      <c r="AE226" s="40"/>
    </row>
    <row r="227" spans="1:31" x14ac:dyDescent="0.25">
      <c r="A227" s="2"/>
      <c r="B227" s="1"/>
      <c r="C227" s="22">
        <v>167</v>
      </c>
      <c r="D227" s="34">
        <f t="shared" si="14"/>
        <v>1.67</v>
      </c>
      <c r="E227" s="30">
        <f t="shared" si="11"/>
        <v>0</v>
      </c>
      <c r="F227" s="31">
        <f t="shared" si="12"/>
        <v>0</v>
      </c>
      <c r="G227" s="32">
        <f t="shared" si="13"/>
        <v>0.35928143712574845</v>
      </c>
      <c r="H227" s="34">
        <f t="shared" si="15"/>
        <v>0.35928143712574845</v>
      </c>
      <c r="I227" s="42"/>
      <c r="J227" s="38"/>
      <c r="K227" s="38"/>
      <c r="L227" s="1"/>
      <c r="M227" s="1"/>
      <c r="N227" s="1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40"/>
      <c r="AE227" s="40"/>
    </row>
    <row r="228" spans="1:31" x14ac:dyDescent="0.25">
      <c r="A228" s="2"/>
      <c r="B228" s="1"/>
      <c r="C228" s="22">
        <v>168</v>
      </c>
      <c r="D228" s="34">
        <f t="shared" si="14"/>
        <v>1.68</v>
      </c>
      <c r="E228" s="30">
        <f t="shared" si="11"/>
        <v>0</v>
      </c>
      <c r="F228" s="31">
        <f t="shared" si="12"/>
        <v>0</v>
      </c>
      <c r="G228" s="32">
        <f t="shared" si="13"/>
        <v>0.3571428571428571</v>
      </c>
      <c r="H228" s="34">
        <f t="shared" si="15"/>
        <v>0.3571428571428571</v>
      </c>
      <c r="I228" s="42"/>
      <c r="J228" s="38"/>
      <c r="K228" s="38"/>
      <c r="L228" s="1"/>
      <c r="M228" s="1"/>
      <c r="N228" s="1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40"/>
      <c r="AE228" s="40"/>
    </row>
    <row r="229" spans="1:31" x14ac:dyDescent="0.25">
      <c r="A229" s="2"/>
      <c r="B229" s="1"/>
      <c r="C229" s="22">
        <v>169</v>
      </c>
      <c r="D229" s="34">
        <f t="shared" si="14"/>
        <v>1.69</v>
      </c>
      <c r="E229" s="30">
        <f t="shared" si="11"/>
        <v>0</v>
      </c>
      <c r="F229" s="31">
        <f t="shared" si="12"/>
        <v>0</v>
      </c>
      <c r="G229" s="32">
        <f t="shared" si="13"/>
        <v>0.35502958579881649</v>
      </c>
      <c r="H229" s="34">
        <f t="shared" si="15"/>
        <v>0.35502958579881649</v>
      </c>
      <c r="I229" s="42"/>
      <c r="J229" s="38"/>
      <c r="K229" s="38"/>
      <c r="L229" s="1"/>
      <c r="M229" s="1"/>
      <c r="N229" s="1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40"/>
      <c r="AE229" s="40"/>
    </row>
    <row r="230" spans="1:31" x14ac:dyDescent="0.25">
      <c r="A230" s="2"/>
      <c r="B230" s="1"/>
      <c r="C230" s="22">
        <v>170</v>
      </c>
      <c r="D230" s="34">
        <f t="shared" si="14"/>
        <v>1.7</v>
      </c>
      <c r="E230" s="30">
        <f t="shared" si="11"/>
        <v>0</v>
      </c>
      <c r="F230" s="31">
        <f t="shared" si="12"/>
        <v>0</v>
      </c>
      <c r="G230" s="32">
        <f t="shared" si="13"/>
        <v>0.35294117647058815</v>
      </c>
      <c r="H230" s="34">
        <f t="shared" si="15"/>
        <v>0.35294117647058815</v>
      </c>
      <c r="I230" s="42"/>
      <c r="J230" s="38"/>
      <c r="K230" s="38"/>
      <c r="L230" s="1"/>
      <c r="M230" s="1"/>
      <c r="N230" s="1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40"/>
      <c r="AE230" s="40"/>
    </row>
    <row r="231" spans="1:31" x14ac:dyDescent="0.25">
      <c r="A231" s="2"/>
      <c r="B231" s="1"/>
      <c r="C231" s="22">
        <v>171</v>
      </c>
      <c r="D231" s="34">
        <f t="shared" si="14"/>
        <v>1.71</v>
      </c>
      <c r="E231" s="30">
        <f t="shared" si="11"/>
        <v>0</v>
      </c>
      <c r="F231" s="31">
        <f t="shared" si="12"/>
        <v>0</v>
      </c>
      <c r="G231" s="32">
        <f t="shared" si="13"/>
        <v>0.35087719298245607</v>
      </c>
      <c r="H231" s="34">
        <f t="shared" si="15"/>
        <v>0.35087719298245607</v>
      </c>
      <c r="I231" s="42"/>
      <c r="J231" s="38"/>
      <c r="K231" s="38"/>
      <c r="L231" s="1"/>
      <c r="M231" s="1"/>
      <c r="N231" s="1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40"/>
      <c r="AE231" s="40"/>
    </row>
    <row r="232" spans="1:31" x14ac:dyDescent="0.25">
      <c r="A232" s="2"/>
      <c r="B232" s="1"/>
      <c r="C232" s="22">
        <v>172</v>
      </c>
      <c r="D232" s="34">
        <f t="shared" si="14"/>
        <v>1.72</v>
      </c>
      <c r="E232" s="30">
        <f t="shared" si="11"/>
        <v>0</v>
      </c>
      <c r="F232" s="31">
        <f t="shared" si="12"/>
        <v>0</v>
      </c>
      <c r="G232" s="32">
        <f t="shared" si="13"/>
        <v>0.34883720930232553</v>
      </c>
      <c r="H232" s="34">
        <f t="shared" si="15"/>
        <v>0.34883720930232553</v>
      </c>
      <c r="I232" s="42"/>
      <c r="J232" s="38"/>
      <c r="K232" s="38"/>
      <c r="L232" s="1"/>
      <c r="M232" s="1"/>
      <c r="N232" s="1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40"/>
      <c r="AE232" s="40"/>
    </row>
    <row r="233" spans="1:31" x14ac:dyDescent="0.25">
      <c r="A233" s="2"/>
      <c r="B233" s="1"/>
      <c r="C233" s="22">
        <v>173</v>
      </c>
      <c r="D233" s="34">
        <f t="shared" si="14"/>
        <v>1.73</v>
      </c>
      <c r="E233" s="30">
        <f t="shared" si="11"/>
        <v>0</v>
      </c>
      <c r="F233" s="31">
        <f t="shared" si="12"/>
        <v>0</v>
      </c>
      <c r="G233" s="32">
        <f t="shared" si="13"/>
        <v>0.34682080924855485</v>
      </c>
      <c r="H233" s="34">
        <f t="shared" si="15"/>
        <v>0.34682080924855485</v>
      </c>
      <c r="I233" s="42"/>
      <c r="J233" s="38"/>
      <c r="K233" s="38"/>
      <c r="L233" s="1"/>
      <c r="M233" s="1"/>
      <c r="N233" s="1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40"/>
      <c r="AE233" s="40"/>
    </row>
    <row r="234" spans="1:31" x14ac:dyDescent="0.25">
      <c r="A234" s="2"/>
      <c r="B234" s="1"/>
      <c r="C234" s="22">
        <v>174</v>
      </c>
      <c r="D234" s="34">
        <f t="shared" si="14"/>
        <v>1.74</v>
      </c>
      <c r="E234" s="30">
        <f t="shared" si="11"/>
        <v>0</v>
      </c>
      <c r="F234" s="31">
        <f t="shared" si="12"/>
        <v>0</v>
      </c>
      <c r="G234" s="32">
        <f t="shared" si="13"/>
        <v>0.34482758620689646</v>
      </c>
      <c r="H234" s="34">
        <f t="shared" si="15"/>
        <v>0.34482758620689646</v>
      </c>
      <c r="I234" s="42"/>
      <c r="J234" s="38"/>
      <c r="K234" s="38"/>
      <c r="L234" s="1"/>
      <c r="M234" s="1"/>
      <c r="N234" s="1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40"/>
      <c r="AE234" s="40"/>
    </row>
    <row r="235" spans="1:31" x14ac:dyDescent="0.25">
      <c r="A235" s="2"/>
      <c r="B235" s="1"/>
      <c r="C235" s="22">
        <v>175</v>
      </c>
      <c r="D235" s="34">
        <f t="shared" si="14"/>
        <v>1.75</v>
      </c>
      <c r="E235" s="30">
        <f t="shared" si="11"/>
        <v>0</v>
      </c>
      <c r="F235" s="31">
        <f t="shared" si="12"/>
        <v>0</v>
      </c>
      <c r="G235" s="32">
        <f t="shared" si="13"/>
        <v>0.3428571428571428</v>
      </c>
      <c r="H235" s="34">
        <f t="shared" si="15"/>
        <v>0.3428571428571428</v>
      </c>
      <c r="I235" s="42"/>
      <c r="J235" s="38"/>
      <c r="K235" s="38"/>
      <c r="L235" s="1"/>
      <c r="M235" s="1"/>
      <c r="N235" s="1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40"/>
      <c r="AE235" s="40"/>
    </row>
    <row r="236" spans="1:31" x14ac:dyDescent="0.25">
      <c r="A236" s="2"/>
      <c r="B236" s="1"/>
      <c r="C236" s="22">
        <v>176</v>
      </c>
      <c r="D236" s="34">
        <f t="shared" si="14"/>
        <v>1.76</v>
      </c>
      <c r="E236" s="30">
        <f t="shared" si="11"/>
        <v>0</v>
      </c>
      <c r="F236" s="31">
        <f t="shared" si="12"/>
        <v>0</v>
      </c>
      <c r="G236" s="32">
        <f t="shared" si="13"/>
        <v>0.34090909090909083</v>
      </c>
      <c r="H236" s="34">
        <f t="shared" si="15"/>
        <v>0.34090909090909083</v>
      </c>
      <c r="I236" s="42"/>
      <c r="J236" s="38"/>
      <c r="K236" s="38"/>
      <c r="L236" s="1"/>
      <c r="M236" s="1"/>
      <c r="N236" s="1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40"/>
      <c r="AE236" s="40"/>
    </row>
    <row r="237" spans="1:31" x14ac:dyDescent="0.25">
      <c r="A237" s="2"/>
      <c r="B237" s="1"/>
      <c r="C237" s="22">
        <v>177</v>
      </c>
      <c r="D237" s="34">
        <f t="shared" si="14"/>
        <v>1.77</v>
      </c>
      <c r="E237" s="30">
        <f t="shared" si="11"/>
        <v>0</v>
      </c>
      <c r="F237" s="31">
        <f t="shared" si="12"/>
        <v>0</v>
      </c>
      <c r="G237" s="32">
        <f t="shared" si="13"/>
        <v>0.33898305084745756</v>
      </c>
      <c r="H237" s="34">
        <f t="shared" si="15"/>
        <v>0.33898305084745756</v>
      </c>
      <c r="I237" s="42"/>
      <c r="J237" s="38"/>
      <c r="K237" s="38"/>
      <c r="L237" s="1"/>
      <c r="M237" s="1"/>
      <c r="N237" s="1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40"/>
      <c r="AE237" s="40"/>
    </row>
    <row r="238" spans="1:31" x14ac:dyDescent="0.25">
      <c r="A238" s="2"/>
      <c r="B238" s="1"/>
      <c r="C238" s="22">
        <v>178</v>
      </c>
      <c r="D238" s="34">
        <f t="shared" si="14"/>
        <v>1.78</v>
      </c>
      <c r="E238" s="30">
        <f t="shared" si="11"/>
        <v>0</v>
      </c>
      <c r="F238" s="31">
        <f t="shared" si="12"/>
        <v>0</v>
      </c>
      <c r="G238" s="32">
        <f t="shared" si="13"/>
        <v>0.33707865168539319</v>
      </c>
      <c r="H238" s="34">
        <f t="shared" si="15"/>
        <v>0.33707865168539319</v>
      </c>
      <c r="I238" s="42"/>
      <c r="J238" s="38"/>
      <c r="K238" s="38"/>
      <c r="L238" s="1"/>
      <c r="M238" s="1"/>
      <c r="N238" s="1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40"/>
      <c r="AE238" s="40"/>
    </row>
    <row r="239" spans="1:31" x14ac:dyDescent="0.25">
      <c r="A239" s="2"/>
      <c r="B239" s="1"/>
      <c r="C239" s="22">
        <v>179</v>
      </c>
      <c r="D239" s="34">
        <f t="shared" si="14"/>
        <v>1.79</v>
      </c>
      <c r="E239" s="30">
        <f t="shared" si="11"/>
        <v>0</v>
      </c>
      <c r="F239" s="31">
        <f t="shared" si="12"/>
        <v>0</v>
      </c>
      <c r="G239" s="32">
        <f t="shared" si="13"/>
        <v>0.33519553072625691</v>
      </c>
      <c r="H239" s="34">
        <f t="shared" si="15"/>
        <v>0.33519553072625691</v>
      </c>
      <c r="I239" s="42"/>
      <c r="J239" s="38"/>
      <c r="K239" s="38"/>
      <c r="L239" s="1"/>
      <c r="M239" s="1"/>
      <c r="N239" s="1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40"/>
      <c r="AE239" s="40"/>
    </row>
    <row r="240" spans="1:31" x14ac:dyDescent="0.25">
      <c r="A240" s="2"/>
      <c r="B240" s="1"/>
      <c r="C240" s="22">
        <v>180</v>
      </c>
      <c r="D240" s="34">
        <f t="shared" si="14"/>
        <v>1.8</v>
      </c>
      <c r="E240" s="30">
        <f t="shared" si="11"/>
        <v>0</v>
      </c>
      <c r="F240" s="31">
        <f t="shared" si="12"/>
        <v>0</v>
      </c>
      <c r="G240" s="32">
        <f t="shared" si="13"/>
        <v>0.33333333333333326</v>
      </c>
      <c r="H240" s="34">
        <f t="shared" si="15"/>
        <v>0.33333333333333326</v>
      </c>
      <c r="I240" s="42"/>
      <c r="J240" s="38"/>
      <c r="K240" s="38"/>
      <c r="L240" s="1"/>
      <c r="M240" s="1"/>
      <c r="N240" s="1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40"/>
      <c r="AE240" s="40"/>
    </row>
    <row r="241" spans="1:31" x14ac:dyDescent="0.25">
      <c r="A241" s="2"/>
      <c r="B241" s="1"/>
      <c r="C241" s="22">
        <v>181</v>
      </c>
      <c r="D241" s="34">
        <f t="shared" si="14"/>
        <v>1.81</v>
      </c>
      <c r="E241" s="30">
        <f t="shared" si="11"/>
        <v>0</v>
      </c>
      <c r="F241" s="31">
        <f t="shared" si="12"/>
        <v>0</v>
      </c>
      <c r="G241" s="32">
        <f t="shared" si="13"/>
        <v>0.33149171270718225</v>
      </c>
      <c r="H241" s="34">
        <f t="shared" si="15"/>
        <v>0.33149171270718225</v>
      </c>
      <c r="I241" s="42"/>
      <c r="J241" s="38"/>
      <c r="K241" s="38"/>
      <c r="L241" s="1"/>
      <c r="M241" s="1"/>
      <c r="N241" s="1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40"/>
      <c r="AE241" s="40"/>
    </row>
    <row r="242" spans="1:31" x14ac:dyDescent="0.25">
      <c r="A242" s="2"/>
      <c r="B242" s="1"/>
      <c r="C242" s="22">
        <v>182</v>
      </c>
      <c r="D242" s="34">
        <f t="shared" si="14"/>
        <v>1.82</v>
      </c>
      <c r="E242" s="30">
        <f t="shared" si="11"/>
        <v>0</v>
      </c>
      <c r="F242" s="31">
        <f t="shared" si="12"/>
        <v>0</v>
      </c>
      <c r="G242" s="32">
        <f t="shared" si="13"/>
        <v>0.32967032967032961</v>
      </c>
      <c r="H242" s="34">
        <f t="shared" si="15"/>
        <v>0.32967032967032961</v>
      </c>
      <c r="I242" s="42"/>
      <c r="J242" s="38"/>
      <c r="K242" s="38"/>
      <c r="L242" s="1"/>
      <c r="M242" s="1"/>
      <c r="N242" s="1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40"/>
      <c r="AE242" s="40"/>
    </row>
    <row r="243" spans="1:31" x14ac:dyDescent="0.25">
      <c r="A243" s="2"/>
      <c r="B243" s="1"/>
      <c r="C243" s="22">
        <v>183</v>
      </c>
      <c r="D243" s="34">
        <f t="shared" si="14"/>
        <v>1.83</v>
      </c>
      <c r="E243" s="30">
        <f t="shared" si="11"/>
        <v>0</v>
      </c>
      <c r="F243" s="31">
        <f t="shared" si="12"/>
        <v>0</v>
      </c>
      <c r="G243" s="32">
        <f t="shared" si="13"/>
        <v>0.32786885245901631</v>
      </c>
      <c r="H243" s="34">
        <f t="shared" si="15"/>
        <v>0.32786885245901631</v>
      </c>
      <c r="I243" s="42"/>
      <c r="J243" s="38"/>
      <c r="K243" s="38"/>
      <c r="L243" s="1"/>
      <c r="M243" s="1"/>
      <c r="N243" s="1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40"/>
      <c r="AE243" s="40"/>
    </row>
    <row r="244" spans="1:31" x14ac:dyDescent="0.25">
      <c r="A244" s="2"/>
      <c r="B244" s="1"/>
      <c r="C244" s="22">
        <v>184</v>
      </c>
      <c r="D244" s="34">
        <f t="shared" si="14"/>
        <v>1.84</v>
      </c>
      <c r="E244" s="30">
        <f t="shared" si="11"/>
        <v>0</v>
      </c>
      <c r="F244" s="31">
        <f t="shared" si="12"/>
        <v>0</v>
      </c>
      <c r="G244" s="32">
        <f t="shared" si="13"/>
        <v>0.32608695652173902</v>
      </c>
      <c r="H244" s="34">
        <f t="shared" si="15"/>
        <v>0.32608695652173902</v>
      </c>
      <c r="I244" s="42"/>
      <c r="J244" s="38"/>
      <c r="K244" s="38"/>
      <c r="L244" s="1"/>
      <c r="M244" s="1"/>
      <c r="N244" s="1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40"/>
      <c r="AE244" s="40"/>
    </row>
    <row r="245" spans="1:31" x14ac:dyDescent="0.25">
      <c r="A245" s="2"/>
      <c r="B245" s="1"/>
      <c r="C245" s="22">
        <v>185</v>
      </c>
      <c r="D245" s="34">
        <f t="shared" si="14"/>
        <v>1.85</v>
      </c>
      <c r="E245" s="30">
        <f t="shared" si="11"/>
        <v>0</v>
      </c>
      <c r="F245" s="31">
        <f t="shared" si="12"/>
        <v>0</v>
      </c>
      <c r="G245" s="32">
        <f t="shared" si="13"/>
        <v>0.32432432432432423</v>
      </c>
      <c r="H245" s="34">
        <f t="shared" si="15"/>
        <v>0.32432432432432423</v>
      </c>
      <c r="I245" s="42"/>
      <c r="J245" s="38"/>
      <c r="K245" s="38"/>
      <c r="L245" s="1"/>
      <c r="M245" s="1"/>
      <c r="N245" s="1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40"/>
      <c r="AE245" s="40"/>
    </row>
    <row r="246" spans="1:31" x14ac:dyDescent="0.25">
      <c r="A246" s="2"/>
      <c r="B246" s="1"/>
      <c r="C246" s="22">
        <v>186</v>
      </c>
      <c r="D246" s="34">
        <f t="shared" si="14"/>
        <v>1.86</v>
      </c>
      <c r="E246" s="30">
        <f t="shared" si="11"/>
        <v>0</v>
      </c>
      <c r="F246" s="31">
        <f t="shared" si="12"/>
        <v>0</v>
      </c>
      <c r="G246" s="32">
        <f t="shared" si="13"/>
        <v>0.32258064516129026</v>
      </c>
      <c r="H246" s="34">
        <f t="shared" si="15"/>
        <v>0.32258064516129026</v>
      </c>
      <c r="I246" s="42"/>
      <c r="J246" s="38"/>
      <c r="K246" s="38"/>
      <c r="L246" s="1"/>
      <c r="M246" s="1"/>
      <c r="N246" s="1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40"/>
      <c r="AE246" s="40"/>
    </row>
    <row r="247" spans="1:31" x14ac:dyDescent="0.25">
      <c r="A247" s="2"/>
      <c r="B247" s="1"/>
      <c r="C247" s="22">
        <v>187</v>
      </c>
      <c r="D247" s="34">
        <f t="shared" si="14"/>
        <v>1.87</v>
      </c>
      <c r="E247" s="30">
        <f t="shared" si="11"/>
        <v>0</v>
      </c>
      <c r="F247" s="31">
        <f t="shared" si="12"/>
        <v>0</v>
      </c>
      <c r="G247" s="32">
        <f t="shared" si="13"/>
        <v>0.32085561497326193</v>
      </c>
      <c r="H247" s="34">
        <f t="shared" si="15"/>
        <v>0.32085561497326193</v>
      </c>
      <c r="I247" s="42"/>
      <c r="J247" s="38"/>
      <c r="K247" s="38"/>
      <c r="L247" s="1"/>
      <c r="M247" s="1"/>
      <c r="N247" s="1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40"/>
      <c r="AE247" s="40"/>
    </row>
    <row r="248" spans="1:31" x14ac:dyDescent="0.25">
      <c r="A248" s="2"/>
      <c r="B248" s="1"/>
      <c r="C248" s="22">
        <v>188</v>
      </c>
      <c r="D248" s="34">
        <f t="shared" si="14"/>
        <v>1.8800000000000001</v>
      </c>
      <c r="E248" s="30">
        <f t="shared" si="11"/>
        <v>0</v>
      </c>
      <c r="F248" s="31">
        <f t="shared" si="12"/>
        <v>0</v>
      </c>
      <c r="G248" s="32">
        <f t="shared" si="13"/>
        <v>0.31914893617021267</v>
      </c>
      <c r="H248" s="34">
        <f t="shared" si="15"/>
        <v>0.31914893617021267</v>
      </c>
      <c r="I248" s="42"/>
      <c r="J248" s="38"/>
      <c r="K248" s="38"/>
      <c r="L248" s="1"/>
      <c r="M248" s="1"/>
      <c r="N248" s="1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40"/>
      <c r="AE248" s="40"/>
    </row>
    <row r="249" spans="1:31" x14ac:dyDescent="0.25">
      <c r="A249" s="2"/>
      <c r="B249" s="1"/>
      <c r="C249" s="22">
        <v>189</v>
      </c>
      <c r="D249" s="34">
        <f t="shared" si="14"/>
        <v>1.8900000000000001</v>
      </c>
      <c r="E249" s="30">
        <f t="shared" si="11"/>
        <v>0</v>
      </c>
      <c r="F249" s="31">
        <f t="shared" si="12"/>
        <v>0</v>
      </c>
      <c r="G249" s="32">
        <f t="shared" si="13"/>
        <v>0.31746031746031739</v>
      </c>
      <c r="H249" s="34">
        <f t="shared" si="15"/>
        <v>0.31746031746031739</v>
      </c>
      <c r="I249" s="42"/>
      <c r="J249" s="38"/>
      <c r="K249" s="38"/>
      <c r="L249" s="1"/>
      <c r="M249" s="1"/>
      <c r="N249" s="1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40"/>
      <c r="AE249" s="40"/>
    </row>
    <row r="250" spans="1:31" x14ac:dyDescent="0.25">
      <c r="A250" s="2"/>
      <c r="B250" s="1"/>
      <c r="C250" s="22">
        <v>190</v>
      </c>
      <c r="D250" s="34">
        <f t="shared" si="14"/>
        <v>1.9000000000000001</v>
      </c>
      <c r="E250" s="30">
        <f t="shared" si="11"/>
        <v>0</v>
      </c>
      <c r="F250" s="31">
        <f t="shared" si="12"/>
        <v>0</v>
      </c>
      <c r="G250" s="32">
        <f t="shared" si="13"/>
        <v>0.31578947368421045</v>
      </c>
      <c r="H250" s="34">
        <f t="shared" si="15"/>
        <v>0.31578947368421045</v>
      </c>
      <c r="I250" s="42"/>
      <c r="J250" s="38"/>
      <c r="K250" s="38"/>
      <c r="L250" s="1"/>
      <c r="M250" s="1"/>
      <c r="N250" s="1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40"/>
      <c r="AE250" s="40"/>
    </row>
    <row r="251" spans="1:31" x14ac:dyDescent="0.25">
      <c r="A251" s="2"/>
      <c r="B251" s="1"/>
      <c r="C251" s="22">
        <v>191</v>
      </c>
      <c r="D251" s="34">
        <f t="shared" si="14"/>
        <v>1.9100000000000001</v>
      </c>
      <c r="E251" s="30">
        <f t="shared" si="11"/>
        <v>0</v>
      </c>
      <c r="F251" s="31">
        <f t="shared" si="12"/>
        <v>0</v>
      </c>
      <c r="G251" s="32">
        <f t="shared" si="13"/>
        <v>0.31413612565445015</v>
      </c>
      <c r="H251" s="34">
        <f t="shared" si="15"/>
        <v>0.31413612565445015</v>
      </c>
      <c r="I251" s="42"/>
      <c r="J251" s="38"/>
      <c r="K251" s="38"/>
      <c r="L251" s="1"/>
      <c r="M251" s="1"/>
      <c r="N251" s="1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40"/>
      <c r="AE251" s="40"/>
    </row>
    <row r="252" spans="1:31" x14ac:dyDescent="0.25">
      <c r="A252" s="2"/>
      <c r="B252" s="1"/>
      <c r="C252" s="22">
        <v>192</v>
      </c>
      <c r="D252" s="34">
        <f t="shared" si="14"/>
        <v>1.92</v>
      </c>
      <c r="E252" s="30">
        <f t="shared" ref="E252:E315" si="16">IF(D252&lt;$C$25,0.4+5*D252,0)</f>
        <v>0</v>
      </c>
      <c r="F252" s="31">
        <f t="shared" ref="F252:F315" si="17">IF(AND(D252&gt;=$C$25,D252&lt;=$C$26),$C$12,0)</f>
        <v>0</v>
      </c>
      <c r="G252" s="32">
        <f t="shared" ref="G252:G315" si="18">IF(D252&gt;$C$26,$C$13/D252,0)</f>
        <v>0.31249999999999994</v>
      </c>
      <c r="H252" s="34">
        <f t="shared" si="15"/>
        <v>0.31249999999999994</v>
      </c>
      <c r="I252" s="42"/>
      <c r="J252" s="38"/>
      <c r="K252" s="38"/>
      <c r="L252" s="1"/>
      <c r="M252" s="1"/>
      <c r="N252" s="1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40"/>
      <c r="AE252" s="40"/>
    </row>
    <row r="253" spans="1:31" x14ac:dyDescent="0.25">
      <c r="A253" s="2"/>
      <c r="B253" s="1"/>
      <c r="C253" s="22">
        <v>193</v>
      </c>
      <c r="D253" s="34">
        <f t="shared" ref="D253:D316" si="19">$D$55*C253</f>
        <v>1.93</v>
      </c>
      <c r="E253" s="30">
        <f t="shared" si="16"/>
        <v>0</v>
      </c>
      <c r="F253" s="31">
        <f t="shared" si="17"/>
        <v>0</v>
      </c>
      <c r="G253" s="32">
        <f t="shared" si="18"/>
        <v>0.31088082901554398</v>
      </c>
      <c r="H253" s="34">
        <f t="shared" si="15"/>
        <v>0.31088082901554398</v>
      </c>
      <c r="I253" s="42"/>
      <c r="J253" s="38"/>
      <c r="K253" s="38"/>
      <c r="L253" s="1"/>
      <c r="M253" s="1"/>
      <c r="N253" s="1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40"/>
      <c r="AE253" s="40"/>
    </row>
    <row r="254" spans="1:31" x14ac:dyDescent="0.25">
      <c r="A254" s="2"/>
      <c r="B254" s="1"/>
      <c r="C254" s="22">
        <v>194</v>
      </c>
      <c r="D254" s="34">
        <f t="shared" si="19"/>
        <v>1.94</v>
      </c>
      <c r="E254" s="30">
        <f t="shared" si="16"/>
        <v>0</v>
      </c>
      <c r="F254" s="31">
        <f t="shared" si="17"/>
        <v>0</v>
      </c>
      <c r="G254" s="32">
        <f t="shared" si="18"/>
        <v>0.30927835051546387</v>
      </c>
      <c r="H254" s="34">
        <f t="shared" si="15"/>
        <v>0.30927835051546387</v>
      </c>
      <c r="I254" s="42"/>
      <c r="J254" s="38"/>
      <c r="K254" s="38"/>
      <c r="L254" s="1"/>
      <c r="M254" s="1"/>
      <c r="N254" s="1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40"/>
      <c r="AE254" s="40"/>
    </row>
    <row r="255" spans="1:31" x14ac:dyDescent="0.25">
      <c r="A255" s="2"/>
      <c r="B255" s="1"/>
      <c r="C255" s="22">
        <v>195</v>
      </c>
      <c r="D255" s="34">
        <f t="shared" si="19"/>
        <v>1.95</v>
      </c>
      <c r="E255" s="30">
        <f t="shared" si="16"/>
        <v>0</v>
      </c>
      <c r="F255" s="31">
        <f t="shared" si="17"/>
        <v>0</v>
      </c>
      <c r="G255" s="32">
        <f t="shared" si="18"/>
        <v>0.30769230769230765</v>
      </c>
      <c r="H255" s="34">
        <f t="shared" si="15"/>
        <v>0.30769230769230765</v>
      </c>
      <c r="I255" s="42"/>
      <c r="J255" s="38"/>
      <c r="K255" s="38"/>
      <c r="L255" s="1"/>
      <c r="M255" s="1"/>
      <c r="N255" s="1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40"/>
      <c r="AE255" s="40"/>
    </row>
    <row r="256" spans="1:31" x14ac:dyDescent="0.25">
      <c r="A256" s="2"/>
      <c r="B256" s="1"/>
      <c r="C256" s="22">
        <v>196</v>
      </c>
      <c r="D256" s="34">
        <f t="shared" si="19"/>
        <v>1.96</v>
      </c>
      <c r="E256" s="30">
        <f t="shared" si="16"/>
        <v>0</v>
      </c>
      <c r="F256" s="31">
        <f t="shared" si="17"/>
        <v>0</v>
      </c>
      <c r="G256" s="32">
        <f t="shared" si="18"/>
        <v>0.30612244897959179</v>
      </c>
      <c r="H256" s="34">
        <f t="shared" si="15"/>
        <v>0.30612244897959179</v>
      </c>
      <c r="I256" s="42"/>
      <c r="J256" s="38"/>
      <c r="K256" s="38"/>
      <c r="L256" s="1"/>
      <c r="M256" s="1"/>
      <c r="N256" s="1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40"/>
      <c r="AE256" s="40"/>
    </row>
    <row r="257" spans="1:31" x14ac:dyDescent="0.25">
      <c r="A257" s="2"/>
      <c r="B257" s="1"/>
      <c r="C257" s="22">
        <v>197</v>
      </c>
      <c r="D257" s="34">
        <f t="shared" si="19"/>
        <v>1.97</v>
      </c>
      <c r="E257" s="30">
        <f t="shared" si="16"/>
        <v>0</v>
      </c>
      <c r="F257" s="31">
        <f t="shared" si="17"/>
        <v>0</v>
      </c>
      <c r="G257" s="32">
        <f t="shared" si="18"/>
        <v>0.30456852791878164</v>
      </c>
      <c r="H257" s="34">
        <f t="shared" si="15"/>
        <v>0.30456852791878164</v>
      </c>
      <c r="I257" s="42"/>
      <c r="J257" s="38"/>
      <c r="K257" s="38"/>
      <c r="L257" s="1"/>
      <c r="M257" s="1"/>
      <c r="N257" s="1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40"/>
      <c r="AE257" s="40"/>
    </row>
    <row r="258" spans="1:31" x14ac:dyDescent="0.25">
      <c r="A258" s="2"/>
      <c r="B258" s="1"/>
      <c r="C258" s="22">
        <v>198</v>
      </c>
      <c r="D258" s="34">
        <f t="shared" si="19"/>
        <v>1.98</v>
      </c>
      <c r="E258" s="30">
        <f t="shared" si="16"/>
        <v>0</v>
      </c>
      <c r="F258" s="31">
        <f t="shared" si="17"/>
        <v>0</v>
      </c>
      <c r="G258" s="32">
        <f t="shared" si="18"/>
        <v>0.30303030303030298</v>
      </c>
      <c r="H258" s="34">
        <f t="shared" si="15"/>
        <v>0.30303030303030298</v>
      </c>
      <c r="I258" s="42"/>
      <c r="J258" s="38"/>
      <c r="K258" s="38"/>
      <c r="L258" s="1"/>
      <c r="M258" s="1"/>
      <c r="N258" s="1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40"/>
      <c r="AE258" s="40"/>
    </row>
    <row r="259" spans="1:31" x14ac:dyDescent="0.25">
      <c r="A259" s="2"/>
      <c r="B259" s="1"/>
      <c r="C259" s="22">
        <v>199</v>
      </c>
      <c r="D259" s="34">
        <f t="shared" si="19"/>
        <v>1.99</v>
      </c>
      <c r="E259" s="30">
        <f t="shared" si="16"/>
        <v>0</v>
      </c>
      <c r="F259" s="31">
        <f t="shared" si="17"/>
        <v>0</v>
      </c>
      <c r="G259" s="32">
        <f t="shared" si="18"/>
        <v>0.30150753768844213</v>
      </c>
      <c r="H259" s="34">
        <f t="shared" si="15"/>
        <v>0.30150753768844213</v>
      </c>
      <c r="I259" s="42"/>
      <c r="J259" s="38"/>
      <c r="K259" s="38"/>
      <c r="L259" s="1"/>
      <c r="M259" s="1"/>
      <c r="N259" s="1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40"/>
      <c r="AE259" s="40"/>
    </row>
    <row r="260" spans="1:31" x14ac:dyDescent="0.25">
      <c r="A260" s="2"/>
      <c r="B260" s="1"/>
      <c r="C260" s="22">
        <v>200</v>
      </c>
      <c r="D260" s="34">
        <f t="shared" si="19"/>
        <v>2</v>
      </c>
      <c r="E260" s="30">
        <f t="shared" si="16"/>
        <v>0</v>
      </c>
      <c r="F260" s="31">
        <f t="shared" si="17"/>
        <v>0</v>
      </c>
      <c r="G260" s="32">
        <f t="shared" si="18"/>
        <v>0.29999999999999993</v>
      </c>
      <c r="H260" s="34">
        <f t="shared" si="15"/>
        <v>0.29999999999999993</v>
      </c>
      <c r="I260" s="42"/>
      <c r="J260" s="38"/>
      <c r="K260" s="38"/>
      <c r="L260" s="1"/>
      <c r="M260" s="1"/>
      <c r="N260" s="1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40"/>
      <c r="AE260" s="40"/>
    </row>
    <row r="261" spans="1:31" x14ac:dyDescent="0.25">
      <c r="A261" s="2"/>
      <c r="B261" s="1"/>
      <c r="C261" s="22">
        <v>201</v>
      </c>
      <c r="D261" s="34">
        <f t="shared" si="19"/>
        <v>2.0100000000000002</v>
      </c>
      <c r="E261" s="30">
        <f t="shared" si="16"/>
        <v>0</v>
      </c>
      <c r="F261" s="31">
        <f t="shared" si="17"/>
        <v>0</v>
      </c>
      <c r="G261" s="32">
        <f t="shared" si="18"/>
        <v>0.29850746268656708</v>
      </c>
      <c r="H261" s="34">
        <f t="shared" si="15"/>
        <v>0.29850746268656708</v>
      </c>
      <c r="I261" s="42"/>
      <c r="J261" s="38"/>
      <c r="K261" s="38"/>
      <c r="L261" s="1"/>
      <c r="M261" s="1"/>
      <c r="N261" s="1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40"/>
      <c r="AE261" s="40"/>
    </row>
    <row r="262" spans="1:31" x14ac:dyDescent="0.25">
      <c r="A262" s="2"/>
      <c r="B262" s="1"/>
      <c r="C262" s="22">
        <v>202</v>
      </c>
      <c r="D262" s="34">
        <f t="shared" si="19"/>
        <v>2.02</v>
      </c>
      <c r="E262" s="30">
        <f t="shared" si="16"/>
        <v>0</v>
      </c>
      <c r="F262" s="31">
        <f t="shared" si="17"/>
        <v>0</v>
      </c>
      <c r="G262" s="32">
        <f t="shared" si="18"/>
        <v>0.29702970297029696</v>
      </c>
      <c r="H262" s="34">
        <f t="shared" si="15"/>
        <v>0.29702970297029696</v>
      </c>
      <c r="I262" s="42"/>
      <c r="J262" s="38"/>
      <c r="K262" s="38"/>
      <c r="L262" s="1"/>
      <c r="M262" s="1"/>
      <c r="N262" s="1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40"/>
      <c r="AE262" s="40"/>
    </row>
    <row r="263" spans="1:31" x14ac:dyDescent="0.25">
      <c r="A263" s="2"/>
      <c r="B263" s="1"/>
      <c r="C263" s="22">
        <v>203</v>
      </c>
      <c r="D263" s="34">
        <f t="shared" si="19"/>
        <v>2.0300000000000002</v>
      </c>
      <c r="E263" s="30">
        <f t="shared" si="16"/>
        <v>0</v>
      </c>
      <c r="F263" s="31">
        <f t="shared" si="17"/>
        <v>0</v>
      </c>
      <c r="G263" s="32">
        <f t="shared" si="18"/>
        <v>0.2955665024630541</v>
      </c>
      <c r="H263" s="34">
        <f t="shared" si="15"/>
        <v>0.2955665024630541</v>
      </c>
      <c r="I263" s="42"/>
      <c r="J263" s="38"/>
      <c r="K263" s="38"/>
      <c r="L263" s="1"/>
      <c r="M263" s="1"/>
      <c r="N263" s="1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40"/>
      <c r="AE263" s="40"/>
    </row>
    <row r="264" spans="1:31" x14ac:dyDescent="0.25">
      <c r="A264" s="2"/>
      <c r="B264" s="1"/>
      <c r="C264" s="22">
        <v>204</v>
      </c>
      <c r="D264" s="34">
        <f t="shared" si="19"/>
        <v>2.04</v>
      </c>
      <c r="E264" s="30">
        <f t="shared" si="16"/>
        <v>0</v>
      </c>
      <c r="F264" s="31">
        <f t="shared" si="17"/>
        <v>0</v>
      </c>
      <c r="G264" s="32">
        <f t="shared" si="18"/>
        <v>0.29411764705882348</v>
      </c>
      <c r="H264" s="34">
        <f t="shared" si="15"/>
        <v>0.29411764705882348</v>
      </c>
      <c r="I264" s="42"/>
      <c r="J264" s="38"/>
      <c r="K264" s="38"/>
      <c r="L264" s="1"/>
      <c r="M264" s="1"/>
      <c r="N264" s="1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40"/>
      <c r="AE264" s="40"/>
    </row>
    <row r="265" spans="1:31" x14ac:dyDescent="0.25">
      <c r="A265" s="2"/>
      <c r="B265" s="1"/>
      <c r="C265" s="22">
        <v>205</v>
      </c>
      <c r="D265" s="34">
        <f t="shared" si="19"/>
        <v>2.0499999999999998</v>
      </c>
      <c r="E265" s="30">
        <f t="shared" si="16"/>
        <v>0</v>
      </c>
      <c r="F265" s="31">
        <f t="shared" si="17"/>
        <v>0</v>
      </c>
      <c r="G265" s="32">
        <f t="shared" si="18"/>
        <v>0.29268292682926828</v>
      </c>
      <c r="H265" s="34">
        <f t="shared" si="15"/>
        <v>0.29268292682926828</v>
      </c>
      <c r="I265" s="42"/>
      <c r="J265" s="38"/>
      <c r="K265" s="38"/>
      <c r="L265" s="1"/>
      <c r="M265" s="1"/>
      <c r="N265" s="1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40"/>
      <c r="AE265" s="40"/>
    </row>
    <row r="266" spans="1:31" x14ac:dyDescent="0.25">
      <c r="A266" s="2"/>
      <c r="B266" s="1"/>
      <c r="C266" s="22">
        <v>206</v>
      </c>
      <c r="D266" s="34">
        <f t="shared" si="19"/>
        <v>2.06</v>
      </c>
      <c r="E266" s="30">
        <f t="shared" si="16"/>
        <v>0</v>
      </c>
      <c r="F266" s="31">
        <f t="shared" si="17"/>
        <v>0</v>
      </c>
      <c r="G266" s="32">
        <f t="shared" si="18"/>
        <v>0.29126213592233002</v>
      </c>
      <c r="H266" s="34">
        <f t="shared" si="15"/>
        <v>0.29126213592233002</v>
      </c>
      <c r="I266" s="42"/>
      <c r="J266" s="38"/>
      <c r="K266" s="38"/>
      <c r="L266" s="1"/>
      <c r="M266" s="1"/>
      <c r="N266" s="1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40"/>
      <c r="AE266" s="40"/>
    </row>
    <row r="267" spans="1:31" x14ac:dyDescent="0.25">
      <c r="A267" s="2"/>
      <c r="B267" s="1"/>
      <c r="C267" s="22">
        <v>207</v>
      </c>
      <c r="D267" s="34">
        <f t="shared" si="19"/>
        <v>2.0699999999999998</v>
      </c>
      <c r="E267" s="30">
        <f t="shared" si="16"/>
        <v>0</v>
      </c>
      <c r="F267" s="31">
        <f t="shared" si="17"/>
        <v>0</v>
      </c>
      <c r="G267" s="32">
        <f t="shared" si="18"/>
        <v>0.28985507246376807</v>
      </c>
      <c r="H267" s="34">
        <f t="shared" si="15"/>
        <v>0.28985507246376807</v>
      </c>
      <c r="I267" s="42"/>
      <c r="J267" s="38"/>
      <c r="K267" s="38"/>
      <c r="L267" s="1"/>
      <c r="M267" s="1"/>
      <c r="N267" s="1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40"/>
      <c r="AE267" s="40"/>
    </row>
    <row r="268" spans="1:31" x14ac:dyDescent="0.25">
      <c r="A268" s="2"/>
      <c r="B268" s="1"/>
      <c r="C268" s="22">
        <v>208</v>
      </c>
      <c r="D268" s="34">
        <f t="shared" si="19"/>
        <v>2.08</v>
      </c>
      <c r="E268" s="30">
        <f t="shared" si="16"/>
        <v>0</v>
      </c>
      <c r="F268" s="31">
        <f t="shared" si="17"/>
        <v>0</v>
      </c>
      <c r="G268" s="32">
        <f t="shared" si="18"/>
        <v>0.28846153846153838</v>
      </c>
      <c r="H268" s="34">
        <f t="shared" si="15"/>
        <v>0.28846153846153838</v>
      </c>
      <c r="I268" s="42"/>
      <c r="J268" s="38"/>
      <c r="K268" s="38"/>
      <c r="L268" s="1"/>
      <c r="M268" s="1"/>
      <c r="N268" s="1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40"/>
      <c r="AE268" s="40"/>
    </row>
    <row r="269" spans="1:31" x14ac:dyDescent="0.25">
      <c r="A269" s="2"/>
      <c r="B269" s="1"/>
      <c r="C269" s="22">
        <v>209</v>
      </c>
      <c r="D269" s="34">
        <f t="shared" si="19"/>
        <v>2.09</v>
      </c>
      <c r="E269" s="30">
        <f t="shared" si="16"/>
        <v>0</v>
      </c>
      <c r="F269" s="31">
        <f t="shared" si="17"/>
        <v>0</v>
      </c>
      <c r="G269" s="32">
        <f t="shared" si="18"/>
        <v>0.2870813397129186</v>
      </c>
      <c r="H269" s="34">
        <f t="shared" si="15"/>
        <v>0.2870813397129186</v>
      </c>
      <c r="I269" s="42"/>
      <c r="J269" s="38"/>
      <c r="K269" s="38"/>
      <c r="L269" s="1"/>
      <c r="M269" s="1"/>
      <c r="N269" s="1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40"/>
      <c r="AE269" s="40"/>
    </row>
    <row r="270" spans="1:31" x14ac:dyDescent="0.25">
      <c r="A270" s="2"/>
      <c r="B270" s="1"/>
      <c r="C270" s="22">
        <v>210</v>
      </c>
      <c r="D270" s="34">
        <f t="shared" si="19"/>
        <v>2.1</v>
      </c>
      <c r="E270" s="30">
        <f t="shared" si="16"/>
        <v>0</v>
      </c>
      <c r="F270" s="31">
        <f t="shared" si="17"/>
        <v>0</v>
      </c>
      <c r="G270" s="32">
        <f t="shared" si="18"/>
        <v>0.28571428571428564</v>
      </c>
      <c r="H270" s="34">
        <f t="shared" si="15"/>
        <v>0.28571428571428564</v>
      </c>
      <c r="I270" s="42"/>
      <c r="J270" s="38"/>
      <c r="K270" s="38"/>
      <c r="L270" s="1"/>
      <c r="M270" s="1"/>
      <c r="N270" s="1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40"/>
      <c r="AE270" s="40"/>
    </row>
    <row r="271" spans="1:31" x14ac:dyDescent="0.25">
      <c r="A271" s="2"/>
      <c r="B271" s="1"/>
      <c r="C271" s="22">
        <v>211</v>
      </c>
      <c r="D271" s="34">
        <f t="shared" si="19"/>
        <v>2.11</v>
      </c>
      <c r="E271" s="30">
        <f t="shared" si="16"/>
        <v>0</v>
      </c>
      <c r="F271" s="31">
        <f t="shared" si="17"/>
        <v>0</v>
      </c>
      <c r="G271" s="32">
        <f t="shared" si="18"/>
        <v>0.28436018957345965</v>
      </c>
      <c r="H271" s="34">
        <f t="shared" si="15"/>
        <v>0.28436018957345965</v>
      </c>
      <c r="I271" s="42"/>
      <c r="J271" s="38"/>
      <c r="K271" s="38"/>
      <c r="L271" s="1"/>
      <c r="M271" s="1"/>
      <c r="N271" s="1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40"/>
      <c r="AE271" s="40"/>
    </row>
    <row r="272" spans="1:31" x14ac:dyDescent="0.25">
      <c r="A272" s="2"/>
      <c r="B272" s="1"/>
      <c r="C272" s="22">
        <v>212</v>
      </c>
      <c r="D272" s="34">
        <f t="shared" si="19"/>
        <v>2.12</v>
      </c>
      <c r="E272" s="30">
        <f t="shared" si="16"/>
        <v>0</v>
      </c>
      <c r="F272" s="31">
        <f t="shared" si="17"/>
        <v>0</v>
      </c>
      <c r="G272" s="32">
        <f t="shared" si="18"/>
        <v>0.28301886792452824</v>
      </c>
      <c r="H272" s="34">
        <f t="shared" si="15"/>
        <v>0.28301886792452824</v>
      </c>
      <c r="I272" s="42"/>
      <c r="J272" s="38"/>
      <c r="K272" s="38"/>
      <c r="L272" s="1"/>
      <c r="M272" s="1"/>
      <c r="N272" s="1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40"/>
      <c r="AE272" s="40"/>
    </row>
    <row r="273" spans="1:31" x14ac:dyDescent="0.25">
      <c r="A273" s="2"/>
      <c r="B273" s="1"/>
      <c r="C273" s="22">
        <v>213</v>
      </c>
      <c r="D273" s="34">
        <f t="shared" si="19"/>
        <v>2.13</v>
      </c>
      <c r="E273" s="30">
        <f t="shared" si="16"/>
        <v>0</v>
      </c>
      <c r="F273" s="31">
        <f t="shared" si="17"/>
        <v>0</v>
      </c>
      <c r="G273" s="32">
        <f t="shared" si="18"/>
        <v>0.28169014084507038</v>
      </c>
      <c r="H273" s="34">
        <f t="shared" si="15"/>
        <v>0.28169014084507038</v>
      </c>
      <c r="I273" s="42"/>
      <c r="J273" s="38"/>
      <c r="K273" s="38"/>
      <c r="L273" s="1"/>
      <c r="M273" s="1"/>
      <c r="N273" s="1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40"/>
      <c r="AE273" s="40"/>
    </row>
    <row r="274" spans="1:31" x14ac:dyDescent="0.25">
      <c r="A274" s="2"/>
      <c r="B274" s="1"/>
      <c r="C274" s="22">
        <v>214</v>
      </c>
      <c r="D274" s="34">
        <f t="shared" si="19"/>
        <v>2.14</v>
      </c>
      <c r="E274" s="30">
        <f t="shared" si="16"/>
        <v>0</v>
      </c>
      <c r="F274" s="31">
        <f t="shared" si="17"/>
        <v>0</v>
      </c>
      <c r="G274" s="32">
        <f t="shared" si="18"/>
        <v>0.28037383177570085</v>
      </c>
      <c r="H274" s="34">
        <f t="shared" si="15"/>
        <v>0.28037383177570085</v>
      </c>
      <c r="I274" s="42"/>
      <c r="J274" s="38"/>
      <c r="K274" s="38"/>
      <c r="L274" s="1"/>
      <c r="M274" s="1"/>
      <c r="N274" s="1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40"/>
      <c r="AE274" s="40"/>
    </row>
    <row r="275" spans="1:31" x14ac:dyDescent="0.25">
      <c r="A275" s="2"/>
      <c r="B275" s="1"/>
      <c r="C275" s="22">
        <v>215</v>
      </c>
      <c r="D275" s="34">
        <f t="shared" si="19"/>
        <v>2.15</v>
      </c>
      <c r="E275" s="30">
        <f t="shared" si="16"/>
        <v>0</v>
      </c>
      <c r="F275" s="31">
        <f t="shared" si="17"/>
        <v>0</v>
      </c>
      <c r="G275" s="32">
        <f t="shared" si="18"/>
        <v>0.27906976744186041</v>
      </c>
      <c r="H275" s="34">
        <f t="shared" si="15"/>
        <v>0.27906976744186041</v>
      </c>
      <c r="I275" s="42"/>
      <c r="J275" s="38"/>
      <c r="K275" s="38"/>
      <c r="L275" s="1"/>
      <c r="M275" s="1"/>
      <c r="N275" s="1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40"/>
      <c r="AE275" s="40"/>
    </row>
    <row r="276" spans="1:31" x14ac:dyDescent="0.25">
      <c r="A276" s="2"/>
      <c r="B276" s="1"/>
      <c r="C276" s="22">
        <v>216</v>
      </c>
      <c r="D276" s="34">
        <f t="shared" si="19"/>
        <v>2.16</v>
      </c>
      <c r="E276" s="30">
        <f t="shared" si="16"/>
        <v>0</v>
      </c>
      <c r="F276" s="31">
        <f t="shared" si="17"/>
        <v>0</v>
      </c>
      <c r="G276" s="32">
        <f t="shared" si="18"/>
        <v>0.27777777777777768</v>
      </c>
      <c r="H276" s="34">
        <f t="shared" si="15"/>
        <v>0.27777777777777768</v>
      </c>
      <c r="I276" s="42"/>
      <c r="J276" s="38"/>
      <c r="K276" s="38"/>
      <c r="L276" s="1"/>
      <c r="M276" s="1"/>
      <c r="N276" s="1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40"/>
      <c r="AE276" s="40"/>
    </row>
    <row r="277" spans="1:31" x14ac:dyDescent="0.25">
      <c r="A277" s="2"/>
      <c r="B277" s="1"/>
      <c r="C277" s="22">
        <v>217</v>
      </c>
      <c r="D277" s="34">
        <f t="shared" si="19"/>
        <v>2.17</v>
      </c>
      <c r="E277" s="30">
        <f t="shared" si="16"/>
        <v>0</v>
      </c>
      <c r="F277" s="31">
        <f t="shared" si="17"/>
        <v>0</v>
      </c>
      <c r="G277" s="32">
        <f t="shared" si="18"/>
        <v>0.27649769585253453</v>
      </c>
      <c r="H277" s="34">
        <f t="shared" si="15"/>
        <v>0.27649769585253453</v>
      </c>
      <c r="I277" s="42"/>
      <c r="J277" s="38"/>
      <c r="K277" s="38"/>
      <c r="L277" s="1"/>
      <c r="M277" s="1"/>
      <c r="N277" s="1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40"/>
      <c r="AE277" s="40"/>
    </row>
    <row r="278" spans="1:31" x14ac:dyDescent="0.25">
      <c r="A278" s="2"/>
      <c r="B278" s="1"/>
      <c r="C278" s="22">
        <v>218</v>
      </c>
      <c r="D278" s="34">
        <f t="shared" si="19"/>
        <v>2.1800000000000002</v>
      </c>
      <c r="E278" s="30">
        <f t="shared" si="16"/>
        <v>0</v>
      </c>
      <c r="F278" s="31">
        <f t="shared" si="17"/>
        <v>0</v>
      </c>
      <c r="G278" s="32">
        <f t="shared" si="18"/>
        <v>0.27522935779816504</v>
      </c>
      <c r="H278" s="34">
        <f t="shared" si="15"/>
        <v>0.27522935779816504</v>
      </c>
      <c r="I278" s="42"/>
      <c r="J278" s="38"/>
      <c r="K278" s="38"/>
      <c r="L278" s="1"/>
      <c r="M278" s="1"/>
      <c r="N278" s="1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40"/>
      <c r="AE278" s="40"/>
    </row>
    <row r="279" spans="1:31" x14ac:dyDescent="0.25">
      <c r="A279" s="2"/>
      <c r="B279" s="1"/>
      <c r="C279" s="22">
        <v>219</v>
      </c>
      <c r="D279" s="34">
        <f t="shared" si="19"/>
        <v>2.19</v>
      </c>
      <c r="E279" s="30">
        <f t="shared" si="16"/>
        <v>0</v>
      </c>
      <c r="F279" s="31">
        <f t="shared" si="17"/>
        <v>0</v>
      </c>
      <c r="G279" s="32">
        <f t="shared" si="18"/>
        <v>0.27397260273972596</v>
      </c>
      <c r="H279" s="34">
        <f t="shared" si="15"/>
        <v>0.27397260273972596</v>
      </c>
      <c r="I279" s="42"/>
      <c r="J279" s="38"/>
      <c r="K279" s="38"/>
      <c r="L279" s="1"/>
      <c r="M279" s="1"/>
      <c r="N279" s="1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40"/>
      <c r="AE279" s="40"/>
    </row>
    <row r="280" spans="1:31" x14ac:dyDescent="0.25">
      <c r="A280" s="2"/>
      <c r="B280" s="1"/>
      <c r="C280" s="22">
        <v>220</v>
      </c>
      <c r="D280" s="34">
        <f t="shared" si="19"/>
        <v>2.2000000000000002</v>
      </c>
      <c r="E280" s="30">
        <f t="shared" si="16"/>
        <v>0</v>
      </c>
      <c r="F280" s="31">
        <f t="shared" si="17"/>
        <v>0</v>
      </c>
      <c r="G280" s="32">
        <f t="shared" si="18"/>
        <v>0.27272727272727265</v>
      </c>
      <c r="H280" s="34">
        <f t="shared" si="15"/>
        <v>0.27272727272727265</v>
      </c>
      <c r="I280" s="42"/>
      <c r="J280" s="38"/>
      <c r="K280" s="38"/>
      <c r="L280" s="1"/>
      <c r="M280" s="1"/>
      <c r="N280" s="1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40"/>
      <c r="AE280" s="40"/>
    </row>
    <row r="281" spans="1:31" x14ac:dyDescent="0.25">
      <c r="A281" s="2"/>
      <c r="B281" s="1"/>
      <c r="C281" s="22">
        <v>221</v>
      </c>
      <c r="D281" s="34">
        <f t="shared" si="19"/>
        <v>2.21</v>
      </c>
      <c r="E281" s="30">
        <f t="shared" si="16"/>
        <v>0</v>
      </c>
      <c r="F281" s="31">
        <f t="shared" si="17"/>
        <v>0</v>
      </c>
      <c r="G281" s="32">
        <f t="shared" si="18"/>
        <v>0.27149321266968318</v>
      </c>
      <c r="H281" s="34">
        <f t="shared" si="15"/>
        <v>0.27149321266968318</v>
      </c>
      <c r="I281" s="42"/>
      <c r="J281" s="38"/>
      <c r="K281" s="38"/>
      <c r="L281" s="1"/>
      <c r="M281" s="1"/>
      <c r="N281" s="1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40"/>
      <c r="AE281" s="40"/>
    </row>
    <row r="282" spans="1:31" x14ac:dyDescent="0.25">
      <c r="A282" s="2"/>
      <c r="B282" s="1"/>
      <c r="C282" s="22">
        <v>222</v>
      </c>
      <c r="D282" s="34">
        <f t="shared" si="19"/>
        <v>2.2200000000000002</v>
      </c>
      <c r="E282" s="30">
        <f t="shared" si="16"/>
        <v>0</v>
      </c>
      <c r="F282" s="31">
        <f t="shared" si="17"/>
        <v>0</v>
      </c>
      <c r="G282" s="32">
        <f t="shared" si="18"/>
        <v>0.27027027027027017</v>
      </c>
      <c r="H282" s="34">
        <f t="shared" si="15"/>
        <v>0.27027027027027017</v>
      </c>
      <c r="I282" s="42"/>
      <c r="J282" s="38"/>
      <c r="K282" s="38"/>
      <c r="L282" s="1"/>
      <c r="M282" s="1"/>
      <c r="N282" s="1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40"/>
      <c r="AE282" s="40"/>
    </row>
    <row r="283" spans="1:31" x14ac:dyDescent="0.25">
      <c r="A283" s="2"/>
      <c r="B283" s="1"/>
      <c r="C283" s="22">
        <v>223</v>
      </c>
      <c r="D283" s="34">
        <f t="shared" si="19"/>
        <v>2.23</v>
      </c>
      <c r="E283" s="30">
        <f t="shared" si="16"/>
        <v>0</v>
      </c>
      <c r="F283" s="31">
        <f t="shared" si="17"/>
        <v>0</v>
      </c>
      <c r="G283" s="32">
        <f t="shared" si="18"/>
        <v>0.2690582959641255</v>
      </c>
      <c r="H283" s="34">
        <f t="shared" si="15"/>
        <v>0.2690582959641255</v>
      </c>
      <c r="I283" s="42"/>
      <c r="J283" s="38"/>
      <c r="K283" s="38"/>
      <c r="L283" s="1"/>
      <c r="M283" s="1"/>
      <c r="N283" s="1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40"/>
      <c r="AE283" s="40"/>
    </row>
    <row r="284" spans="1:31" x14ac:dyDescent="0.25">
      <c r="A284" s="2"/>
      <c r="B284" s="1"/>
      <c r="C284" s="22">
        <v>224</v>
      </c>
      <c r="D284" s="34">
        <f t="shared" si="19"/>
        <v>2.2400000000000002</v>
      </c>
      <c r="E284" s="30">
        <f t="shared" si="16"/>
        <v>0</v>
      </c>
      <c r="F284" s="31">
        <f t="shared" si="17"/>
        <v>0</v>
      </c>
      <c r="G284" s="32">
        <f t="shared" si="18"/>
        <v>0.26785714285714279</v>
      </c>
      <c r="H284" s="34">
        <f t="shared" si="15"/>
        <v>0.26785714285714279</v>
      </c>
      <c r="I284" s="42"/>
      <c r="J284" s="38"/>
      <c r="K284" s="38"/>
      <c r="L284" s="1"/>
      <c r="M284" s="1"/>
      <c r="N284" s="1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40"/>
      <c r="AE284" s="40"/>
    </row>
    <row r="285" spans="1:31" x14ac:dyDescent="0.25">
      <c r="A285" s="2"/>
      <c r="B285" s="1"/>
      <c r="C285" s="22">
        <v>225</v>
      </c>
      <c r="D285" s="34">
        <f t="shared" si="19"/>
        <v>2.25</v>
      </c>
      <c r="E285" s="30">
        <f t="shared" si="16"/>
        <v>0</v>
      </c>
      <c r="F285" s="31">
        <f t="shared" si="17"/>
        <v>0</v>
      </c>
      <c r="G285" s="32">
        <f t="shared" si="18"/>
        <v>0.26666666666666661</v>
      </c>
      <c r="H285" s="34">
        <f t="shared" si="15"/>
        <v>0.26666666666666661</v>
      </c>
      <c r="I285" s="42"/>
      <c r="J285" s="38"/>
      <c r="K285" s="38"/>
      <c r="L285" s="1"/>
      <c r="M285" s="1"/>
      <c r="N285" s="1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40"/>
      <c r="AE285" s="40"/>
    </row>
    <row r="286" spans="1:31" x14ac:dyDescent="0.25">
      <c r="A286" s="2"/>
      <c r="B286" s="1"/>
      <c r="C286" s="22">
        <v>226</v>
      </c>
      <c r="D286" s="34">
        <f t="shared" si="19"/>
        <v>2.2600000000000002</v>
      </c>
      <c r="E286" s="30">
        <f t="shared" si="16"/>
        <v>0</v>
      </c>
      <c r="F286" s="31">
        <f t="shared" si="17"/>
        <v>0</v>
      </c>
      <c r="G286" s="32">
        <f t="shared" si="18"/>
        <v>0.26548672566371673</v>
      </c>
      <c r="H286" s="34">
        <f t="shared" si="15"/>
        <v>0.26548672566371673</v>
      </c>
      <c r="I286" s="42"/>
      <c r="J286" s="38"/>
      <c r="K286" s="38"/>
      <c r="L286" s="1"/>
      <c r="M286" s="1"/>
      <c r="N286" s="1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40"/>
      <c r="AE286" s="40"/>
    </row>
    <row r="287" spans="1:31" x14ac:dyDescent="0.25">
      <c r="A287" s="2"/>
      <c r="B287" s="1"/>
      <c r="C287" s="22">
        <v>227</v>
      </c>
      <c r="D287" s="34">
        <f t="shared" si="19"/>
        <v>2.27</v>
      </c>
      <c r="E287" s="30">
        <f t="shared" si="16"/>
        <v>0</v>
      </c>
      <c r="F287" s="31">
        <f t="shared" si="17"/>
        <v>0</v>
      </c>
      <c r="G287" s="32">
        <f t="shared" si="18"/>
        <v>0.26431718061674003</v>
      </c>
      <c r="H287" s="34">
        <f t="shared" si="15"/>
        <v>0.26431718061674003</v>
      </c>
      <c r="I287" s="42"/>
      <c r="J287" s="38"/>
      <c r="K287" s="38"/>
      <c r="L287" s="1"/>
      <c r="M287" s="1"/>
      <c r="N287" s="1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40"/>
      <c r="AE287" s="40"/>
    </row>
    <row r="288" spans="1:31" x14ac:dyDescent="0.25">
      <c r="A288" s="2"/>
      <c r="B288" s="1"/>
      <c r="C288" s="22">
        <v>228</v>
      </c>
      <c r="D288" s="34">
        <f t="shared" si="19"/>
        <v>2.2800000000000002</v>
      </c>
      <c r="E288" s="30">
        <f t="shared" si="16"/>
        <v>0</v>
      </c>
      <c r="F288" s="31">
        <f t="shared" si="17"/>
        <v>0</v>
      </c>
      <c r="G288" s="32">
        <f t="shared" si="18"/>
        <v>0.26315789473684204</v>
      </c>
      <c r="H288" s="34">
        <f t="shared" si="15"/>
        <v>0.26315789473684204</v>
      </c>
      <c r="I288" s="42"/>
      <c r="J288" s="38"/>
      <c r="K288" s="38"/>
      <c r="L288" s="1"/>
      <c r="M288" s="1"/>
      <c r="N288" s="1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40"/>
      <c r="AE288" s="40"/>
    </row>
    <row r="289" spans="1:31" x14ac:dyDescent="0.25">
      <c r="A289" s="2"/>
      <c r="B289" s="1"/>
      <c r="C289" s="22">
        <v>229</v>
      </c>
      <c r="D289" s="34">
        <f t="shared" si="19"/>
        <v>2.29</v>
      </c>
      <c r="E289" s="30">
        <f t="shared" si="16"/>
        <v>0</v>
      </c>
      <c r="F289" s="31">
        <f t="shared" si="17"/>
        <v>0</v>
      </c>
      <c r="G289" s="32">
        <f t="shared" si="18"/>
        <v>0.26200873362445409</v>
      </c>
      <c r="H289" s="34">
        <f t="shared" ref="H289:H352" si="20">SUM(E289:G289)</f>
        <v>0.26200873362445409</v>
      </c>
      <c r="I289" s="42"/>
      <c r="J289" s="38"/>
      <c r="K289" s="38"/>
      <c r="L289" s="1"/>
      <c r="M289" s="1"/>
      <c r="N289" s="1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40"/>
      <c r="AE289" s="40"/>
    </row>
    <row r="290" spans="1:31" x14ac:dyDescent="0.25">
      <c r="A290" s="2"/>
      <c r="B290" s="1"/>
      <c r="C290" s="22">
        <v>230</v>
      </c>
      <c r="D290" s="34">
        <f t="shared" si="19"/>
        <v>2.3000000000000003</v>
      </c>
      <c r="E290" s="30">
        <f t="shared" si="16"/>
        <v>0</v>
      </c>
      <c r="F290" s="31">
        <f t="shared" si="17"/>
        <v>0</v>
      </c>
      <c r="G290" s="32">
        <f t="shared" si="18"/>
        <v>0.26086956521739124</v>
      </c>
      <c r="H290" s="34">
        <f t="shared" si="20"/>
        <v>0.26086956521739124</v>
      </c>
      <c r="I290" s="42"/>
      <c r="J290" s="38"/>
      <c r="K290" s="38"/>
      <c r="L290" s="1"/>
      <c r="M290" s="1"/>
      <c r="N290" s="1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40"/>
      <c r="AE290" s="40"/>
    </row>
    <row r="291" spans="1:31" x14ac:dyDescent="0.25">
      <c r="A291" s="2"/>
      <c r="B291" s="1"/>
      <c r="C291" s="22">
        <v>231</v>
      </c>
      <c r="D291" s="34">
        <f t="shared" si="19"/>
        <v>2.31</v>
      </c>
      <c r="E291" s="30">
        <f t="shared" si="16"/>
        <v>0</v>
      </c>
      <c r="F291" s="31">
        <f t="shared" si="17"/>
        <v>0</v>
      </c>
      <c r="G291" s="32">
        <f t="shared" si="18"/>
        <v>0.25974025974025966</v>
      </c>
      <c r="H291" s="34">
        <f t="shared" si="20"/>
        <v>0.25974025974025966</v>
      </c>
      <c r="I291" s="42"/>
      <c r="J291" s="38"/>
      <c r="K291" s="38"/>
      <c r="L291" s="1"/>
      <c r="M291" s="1"/>
      <c r="N291" s="1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40"/>
      <c r="AE291" s="40"/>
    </row>
    <row r="292" spans="1:31" x14ac:dyDescent="0.25">
      <c r="A292" s="2"/>
      <c r="B292" s="1"/>
      <c r="C292" s="22">
        <v>232</v>
      </c>
      <c r="D292" s="34">
        <f t="shared" si="19"/>
        <v>2.3199999999999998</v>
      </c>
      <c r="E292" s="30">
        <f t="shared" si="16"/>
        <v>0</v>
      </c>
      <c r="F292" s="31">
        <f t="shared" si="17"/>
        <v>0</v>
      </c>
      <c r="G292" s="32">
        <f t="shared" si="18"/>
        <v>0.25862068965517238</v>
      </c>
      <c r="H292" s="34">
        <f t="shared" si="20"/>
        <v>0.25862068965517238</v>
      </c>
      <c r="I292" s="42"/>
      <c r="J292" s="38"/>
      <c r="K292" s="38"/>
      <c r="L292" s="1"/>
      <c r="M292" s="1"/>
      <c r="N292" s="1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40"/>
      <c r="AE292" s="40"/>
    </row>
    <row r="293" spans="1:31" x14ac:dyDescent="0.25">
      <c r="A293" s="2"/>
      <c r="B293" s="1"/>
      <c r="C293" s="22">
        <v>233</v>
      </c>
      <c r="D293" s="34">
        <f t="shared" si="19"/>
        <v>2.33</v>
      </c>
      <c r="E293" s="30">
        <f t="shared" si="16"/>
        <v>0</v>
      </c>
      <c r="F293" s="31">
        <f t="shared" si="17"/>
        <v>0</v>
      </c>
      <c r="G293" s="32">
        <f t="shared" si="18"/>
        <v>0.25751072961373384</v>
      </c>
      <c r="H293" s="34">
        <f t="shared" si="20"/>
        <v>0.25751072961373384</v>
      </c>
      <c r="I293" s="42"/>
      <c r="J293" s="38"/>
      <c r="K293" s="38"/>
      <c r="L293" s="1"/>
      <c r="M293" s="1"/>
      <c r="N293" s="1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40"/>
      <c r="AE293" s="40"/>
    </row>
    <row r="294" spans="1:31" x14ac:dyDescent="0.25">
      <c r="A294" s="2"/>
      <c r="B294" s="1"/>
      <c r="C294" s="22">
        <v>234</v>
      </c>
      <c r="D294" s="34">
        <f t="shared" si="19"/>
        <v>2.34</v>
      </c>
      <c r="E294" s="30">
        <f t="shared" si="16"/>
        <v>0</v>
      </c>
      <c r="F294" s="31">
        <f t="shared" si="17"/>
        <v>0</v>
      </c>
      <c r="G294" s="32">
        <f t="shared" si="18"/>
        <v>0.25641025641025639</v>
      </c>
      <c r="H294" s="34">
        <f t="shared" si="20"/>
        <v>0.25641025641025639</v>
      </c>
      <c r="I294" s="42"/>
      <c r="J294" s="38"/>
      <c r="K294" s="38"/>
      <c r="L294" s="1"/>
      <c r="M294" s="1"/>
      <c r="N294" s="1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40"/>
      <c r="AE294" s="40"/>
    </row>
    <row r="295" spans="1:31" x14ac:dyDescent="0.25">
      <c r="A295" s="2"/>
      <c r="B295" s="1"/>
      <c r="C295" s="22">
        <v>235</v>
      </c>
      <c r="D295" s="34">
        <f t="shared" si="19"/>
        <v>2.35</v>
      </c>
      <c r="E295" s="30">
        <f t="shared" si="16"/>
        <v>0</v>
      </c>
      <c r="F295" s="31">
        <f t="shared" si="17"/>
        <v>0</v>
      </c>
      <c r="G295" s="32">
        <f t="shared" si="18"/>
        <v>0.25531914893617014</v>
      </c>
      <c r="H295" s="34">
        <f t="shared" si="20"/>
        <v>0.25531914893617014</v>
      </c>
      <c r="I295" s="42"/>
      <c r="J295" s="38"/>
      <c r="K295" s="38"/>
      <c r="L295" s="1"/>
      <c r="M295" s="1"/>
      <c r="N295" s="1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40"/>
      <c r="AE295" s="40"/>
    </row>
    <row r="296" spans="1:31" x14ac:dyDescent="0.25">
      <c r="A296" s="2"/>
      <c r="B296" s="1"/>
      <c r="C296" s="22">
        <v>236</v>
      </c>
      <c r="D296" s="34">
        <f t="shared" si="19"/>
        <v>2.36</v>
      </c>
      <c r="E296" s="30">
        <f t="shared" si="16"/>
        <v>0</v>
      </c>
      <c r="F296" s="31">
        <f t="shared" si="17"/>
        <v>0</v>
      </c>
      <c r="G296" s="32">
        <f t="shared" si="18"/>
        <v>0.25423728813559315</v>
      </c>
      <c r="H296" s="34">
        <f t="shared" si="20"/>
        <v>0.25423728813559315</v>
      </c>
      <c r="I296" s="42"/>
      <c r="J296" s="38"/>
      <c r="K296" s="38"/>
      <c r="L296" s="1"/>
      <c r="M296" s="1"/>
      <c r="N296" s="1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40"/>
      <c r="AE296" s="40"/>
    </row>
    <row r="297" spans="1:31" x14ac:dyDescent="0.25">
      <c r="A297" s="2"/>
      <c r="B297" s="1"/>
      <c r="C297" s="22">
        <v>237</v>
      </c>
      <c r="D297" s="34">
        <f t="shared" si="19"/>
        <v>2.37</v>
      </c>
      <c r="E297" s="30">
        <f t="shared" si="16"/>
        <v>0</v>
      </c>
      <c r="F297" s="31">
        <f t="shared" si="17"/>
        <v>0</v>
      </c>
      <c r="G297" s="32">
        <f t="shared" si="18"/>
        <v>0.25316455696202522</v>
      </c>
      <c r="H297" s="34">
        <f t="shared" si="20"/>
        <v>0.25316455696202522</v>
      </c>
      <c r="I297" s="42"/>
      <c r="J297" s="38"/>
      <c r="K297" s="38"/>
      <c r="L297" s="1"/>
      <c r="M297" s="1"/>
      <c r="N297" s="1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40"/>
      <c r="AE297" s="40"/>
    </row>
    <row r="298" spans="1:31" x14ac:dyDescent="0.25">
      <c r="A298" s="2"/>
      <c r="B298" s="1"/>
      <c r="C298" s="22">
        <v>238</v>
      </c>
      <c r="D298" s="34">
        <f t="shared" si="19"/>
        <v>2.38</v>
      </c>
      <c r="E298" s="30">
        <f t="shared" si="16"/>
        <v>0</v>
      </c>
      <c r="F298" s="31">
        <f t="shared" si="17"/>
        <v>0</v>
      </c>
      <c r="G298" s="32">
        <f t="shared" si="18"/>
        <v>0.25210084033613439</v>
      </c>
      <c r="H298" s="34">
        <f t="shared" si="20"/>
        <v>0.25210084033613439</v>
      </c>
      <c r="I298" s="42"/>
      <c r="J298" s="38"/>
      <c r="K298" s="38"/>
      <c r="L298" s="1"/>
      <c r="M298" s="1"/>
      <c r="N298" s="1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40"/>
      <c r="AE298" s="40"/>
    </row>
    <row r="299" spans="1:31" x14ac:dyDescent="0.25">
      <c r="A299" s="2"/>
      <c r="B299" s="1"/>
      <c r="C299" s="22">
        <v>239</v>
      </c>
      <c r="D299" s="34">
        <f t="shared" si="19"/>
        <v>2.39</v>
      </c>
      <c r="E299" s="30">
        <f t="shared" si="16"/>
        <v>0</v>
      </c>
      <c r="F299" s="31">
        <f t="shared" si="17"/>
        <v>0</v>
      </c>
      <c r="G299" s="32">
        <f t="shared" si="18"/>
        <v>0.25104602510460244</v>
      </c>
      <c r="H299" s="34">
        <f t="shared" si="20"/>
        <v>0.25104602510460244</v>
      </c>
      <c r="I299" s="42"/>
      <c r="J299" s="38"/>
      <c r="K299" s="38"/>
      <c r="L299" s="1"/>
      <c r="M299" s="1"/>
      <c r="N299" s="1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40"/>
      <c r="AE299" s="40"/>
    </row>
    <row r="300" spans="1:31" x14ac:dyDescent="0.25">
      <c r="A300" s="2"/>
      <c r="B300" s="1"/>
      <c r="C300" s="22">
        <v>240</v>
      </c>
      <c r="D300" s="34">
        <f t="shared" si="19"/>
        <v>2.4</v>
      </c>
      <c r="E300" s="30">
        <f t="shared" si="16"/>
        <v>0</v>
      </c>
      <c r="F300" s="31">
        <f t="shared" si="17"/>
        <v>0</v>
      </c>
      <c r="G300" s="32">
        <f t="shared" si="18"/>
        <v>0.24999999999999994</v>
      </c>
      <c r="H300" s="34">
        <f t="shared" si="20"/>
        <v>0.24999999999999994</v>
      </c>
      <c r="I300" s="42"/>
      <c r="J300" s="38"/>
      <c r="K300" s="38"/>
      <c r="L300" s="1"/>
      <c r="M300" s="1"/>
      <c r="N300" s="1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40"/>
      <c r="AE300" s="40"/>
    </row>
    <row r="301" spans="1:31" x14ac:dyDescent="0.25">
      <c r="A301" s="2"/>
      <c r="B301" s="1"/>
      <c r="C301" s="22">
        <v>241</v>
      </c>
      <c r="D301" s="34">
        <f t="shared" si="19"/>
        <v>2.41</v>
      </c>
      <c r="E301" s="30">
        <f t="shared" si="16"/>
        <v>0</v>
      </c>
      <c r="F301" s="31">
        <f t="shared" si="17"/>
        <v>0</v>
      </c>
      <c r="G301" s="32">
        <f t="shared" si="18"/>
        <v>0.24896265560165967</v>
      </c>
      <c r="H301" s="34">
        <f t="shared" si="20"/>
        <v>0.24896265560165967</v>
      </c>
      <c r="I301" s="42"/>
      <c r="J301" s="38"/>
      <c r="K301" s="38"/>
      <c r="L301" s="1"/>
      <c r="M301" s="1"/>
      <c r="N301" s="1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40"/>
      <c r="AE301" s="40"/>
    </row>
    <row r="302" spans="1:31" x14ac:dyDescent="0.25">
      <c r="A302" s="2"/>
      <c r="B302" s="1"/>
      <c r="C302" s="22">
        <v>242</v>
      </c>
      <c r="D302" s="34">
        <f t="shared" si="19"/>
        <v>2.42</v>
      </c>
      <c r="E302" s="30">
        <f t="shared" si="16"/>
        <v>0</v>
      </c>
      <c r="F302" s="31">
        <f t="shared" si="17"/>
        <v>0</v>
      </c>
      <c r="G302" s="32">
        <f t="shared" si="18"/>
        <v>0.24793388429752061</v>
      </c>
      <c r="H302" s="34">
        <f t="shared" si="20"/>
        <v>0.24793388429752061</v>
      </c>
      <c r="I302" s="42"/>
      <c r="J302" s="38"/>
      <c r="K302" s="38"/>
      <c r="L302" s="1"/>
      <c r="M302" s="1"/>
      <c r="N302" s="1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40"/>
      <c r="AE302" s="40"/>
    </row>
    <row r="303" spans="1:31" x14ac:dyDescent="0.25">
      <c r="A303" s="2"/>
      <c r="B303" s="1"/>
      <c r="C303" s="22">
        <v>243</v>
      </c>
      <c r="D303" s="34">
        <f t="shared" si="19"/>
        <v>2.4300000000000002</v>
      </c>
      <c r="E303" s="30">
        <f t="shared" si="16"/>
        <v>0</v>
      </c>
      <c r="F303" s="31">
        <f t="shared" si="17"/>
        <v>0</v>
      </c>
      <c r="G303" s="32">
        <f t="shared" si="18"/>
        <v>0.24691358024691351</v>
      </c>
      <c r="H303" s="34">
        <f t="shared" si="20"/>
        <v>0.24691358024691351</v>
      </c>
      <c r="I303" s="42"/>
      <c r="J303" s="38"/>
      <c r="K303" s="38"/>
      <c r="L303" s="1"/>
      <c r="M303" s="1"/>
      <c r="N303" s="1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40"/>
      <c r="AE303" s="40"/>
    </row>
    <row r="304" spans="1:31" x14ac:dyDescent="0.25">
      <c r="A304" s="2"/>
      <c r="B304" s="1"/>
      <c r="C304" s="22">
        <v>244</v>
      </c>
      <c r="D304" s="34">
        <f t="shared" si="19"/>
        <v>2.44</v>
      </c>
      <c r="E304" s="30">
        <f t="shared" si="16"/>
        <v>0</v>
      </c>
      <c r="F304" s="31">
        <f t="shared" si="17"/>
        <v>0</v>
      </c>
      <c r="G304" s="32">
        <f t="shared" si="18"/>
        <v>0.24590163934426224</v>
      </c>
      <c r="H304" s="34">
        <f t="shared" si="20"/>
        <v>0.24590163934426224</v>
      </c>
      <c r="I304" s="42"/>
      <c r="J304" s="38"/>
      <c r="K304" s="38"/>
      <c r="L304" s="1"/>
      <c r="M304" s="1"/>
      <c r="N304" s="1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40"/>
      <c r="AE304" s="40"/>
    </row>
    <row r="305" spans="1:31" x14ac:dyDescent="0.25">
      <c r="A305" s="2"/>
      <c r="B305" s="1"/>
      <c r="C305" s="22">
        <v>245</v>
      </c>
      <c r="D305" s="34">
        <f t="shared" si="19"/>
        <v>2.4500000000000002</v>
      </c>
      <c r="E305" s="30">
        <f t="shared" si="16"/>
        <v>0</v>
      </c>
      <c r="F305" s="31">
        <f t="shared" si="17"/>
        <v>0</v>
      </c>
      <c r="G305" s="32">
        <f t="shared" si="18"/>
        <v>0.24489795918367341</v>
      </c>
      <c r="H305" s="34">
        <f t="shared" si="20"/>
        <v>0.24489795918367341</v>
      </c>
      <c r="I305" s="42"/>
      <c r="J305" s="38"/>
      <c r="K305" s="38"/>
      <c r="L305" s="1"/>
      <c r="M305" s="1"/>
      <c r="N305" s="1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40"/>
      <c r="AE305" s="40"/>
    </row>
    <row r="306" spans="1:31" x14ac:dyDescent="0.25">
      <c r="A306" s="2"/>
      <c r="B306" s="1"/>
      <c r="C306" s="22">
        <v>246</v>
      </c>
      <c r="D306" s="34">
        <f t="shared" si="19"/>
        <v>2.46</v>
      </c>
      <c r="E306" s="30">
        <f t="shared" si="16"/>
        <v>0</v>
      </c>
      <c r="F306" s="31">
        <f t="shared" si="17"/>
        <v>0</v>
      </c>
      <c r="G306" s="32">
        <f t="shared" si="18"/>
        <v>0.24390243902439018</v>
      </c>
      <c r="H306" s="34">
        <f t="shared" si="20"/>
        <v>0.24390243902439018</v>
      </c>
      <c r="I306" s="42"/>
      <c r="J306" s="38"/>
      <c r="K306" s="38"/>
      <c r="L306" s="1"/>
      <c r="M306" s="1"/>
      <c r="N306" s="1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40"/>
      <c r="AE306" s="40"/>
    </row>
    <row r="307" spans="1:31" x14ac:dyDescent="0.25">
      <c r="A307" s="2"/>
      <c r="B307" s="1"/>
      <c r="C307" s="22">
        <v>247</v>
      </c>
      <c r="D307" s="34">
        <f t="shared" si="19"/>
        <v>2.4700000000000002</v>
      </c>
      <c r="E307" s="30">
        <f t="shared" si="16"/>
        <v>0</v>
      </c>
      <c r="F307" s="31">
        <f t="shared" si="17"/>
        <v>0</v>
      </c>
      <c r="G307" s="32">
        <f t="shared" si="18"/>
        <v>0.24291497975708495</v>
      </c>
      <c r="H307" s="34">
        <f t="shared" si="20"/>
        <v>0.24291497975708495</v>
      </c>
      <c r="I307" s="42"/>
      <c r="J307" s="38"/>
      <c r="K307" s="38"/>
      <c r="L307" s="1"/>
      <c r="M307" s="1"/>
      <c r="N307" s="1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40"/>
      <c r="AE307" s="40"/>
    </row>
    <row r="308" spans="1:31" x14ac:dyDescent="0.25">
      <c r="A308" s="2"/>
      <c r="B308" s="1"/>
      <c r="C308" s="22">
        <v>248</v>
      </c>
      <c r="D308" s="34">
        <f t="shared" si="19"/>
        <v>2.48</v>
      </c>
      <c r="E308" s="30">
        <f t="shared" si="16"/>
        <v>0</v>
      </c>
      <c r="F308" s="31">
        <f t="shared" si="17"/>
        <v>0</v>
      </c>
      <c r="G308" s="32">
        <f t="shared" si="18"/>
        <v>0.24193548387096769</v>
      </c>
      <c r="H308" s="34">
        <f t="shared" si="20"/>
        <v>0.24193548387096769</v>
      </c>
      <c r="I308" s="42"/>
      <c r="J308" s="38"/>
      <c r="K308" s="38"/>
      <c r="L308" s="1"/>
      <c r="M308" s="1"/>
      <c r="N308" s="1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40"/>
      <c r="AE308" s="40"/>
    </row>
    <row r="309" spans="1:31" x14ac:dyDescent="0.25">
      <c r="A309" s="2"/>
      <c r="B309" s="1"/>
      <c r="C309" s="22">
        <v>249</v>
      </c>
      <c r="D309" s="34">
        <f t="shared" si="19"/>
        <v>2.4900000000000002</v>
      </c>
      <c r="E309" s="30">
        <f t="shared" si="16"/>
        <v>0</v>
      </c>
      <c r="F309" s="31">
        <f t="shared" si="17"/>
        <v>0</v>
      </c>
      <c r="G309" s="32">
        <f t="shared" si="18"/>
        <v>0.24096385542168666</v>
      </c>
      <c r="H309" s="34">
        <f t="shared" si="20"/>
        <v>0.24096385542168666</v>
      </c>
      <c r="I309" s="42"/>
      <c r="J309" s="38"/>
      <c r="K309" s="38"/>
      <c r="L309" s="1"/>
      <c r="M309" s="1"/>
      <c r="N309" s="1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40"/>
      <c r="AE309" s="40"/>
    </row>
    <row r="310" spans="1:31" x14ac:dyDescent="0.25">
      <c r="A310" s="2"/>
      <c r="B310" s="1"/>
      <c r="C310" s="22">
        <v>250</v>
      </c>
      <c r="D310" s="34">
        <f t="shared" si="19"/>
        <v>2.5</v>
      </c>
      <c r="E310" s="30">
        <f t="shared" si="16"/>
        <v>0</v>
      </c>
      <c r="F310" s="31">
        <f t="shared" si="17"/>
        <v>0</v>
      </c>
      <c r="G310" s="32">
        <f t="shared" si="18"/>
        <v>0.23999999999999994</v>
      </c>
      <c r="H310" s="34">
        <f t="shared" si="20"/>
        <v>0.23999999999999994</v>
      </c>
      <c r="I310" s="42"/>
      <c r="J310" s="38"/>
      <c r="K310" s="38"/>
      <c r="L310" s="1"/>
      <c r="M310" s="1"/>
      <c r="N310" s="1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40"/>
      <c r="AE310" s="40"/>
    </row>
    <row r="311" spans="1:31" x14ac:dyDescent="0.25">
      <c r="A311" s="2"/>
      <c r="B311" s="1"/>
      <c r="C311" s="22">
        <v>251</v>
      </c>
      <c r="D311" s="34">
        <f t="shared" si="19"/>
        <v>2.5100000000000002</v>
      </c>
      <c r="E311" s="30">
        <f t="shared" si="16"/>
        <v>0</v>
      </c>
      <c r="F311" s="31">
        <f t="shared" si="17"/>
        <v>0</v>
      </c>
      <c r="G311" s="32">
        <f t="shared" si="18"/>
        <v>0.23904382470119515</v>
      </c>
      <c r="H311" s="34">
        <f t="shared" si="20"/>
        <v>0.23904382470119515</v>
      </c>
      <c r="I311" s="42"/>
      <c r="J311" s="38"/>
      <c r="K311" s="38"/>
      <c r="L311" s="1"/>
      <c r="M311" s="1"/>
      <c r="N311" s="1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40"/>
      <c r="AE311" s="40"/>
    </row>
    <row r="312" spans="1:31" x14ac:dyDescent="0.25">
      <c r="A312" s="2"/>
      <c r="B312" s="1"/>
      <c r="C312" s="22">
        <v>252</v>
      </c>
      <c r="D312" s="34">
        <f t="shared" si="19"/>
        <v>2.52</v>
      </c>
      <c r="E312" s="30">
        <f t="shared" si="16"/>
        <v>0</v>
      </c>
      <c r="F312" s="31">
        <f t="shared" si="17"/>
        <v>0</v>
      </c>
      <c r="G312" s="32">
        <f t="shared" si="18"/>
        <v>0.23809523809523805</v>
      </c>
      <c r="H312" s="34">
        <f t="shared" si="20"/>
        <v>0.23809523809523805</v>
      </c>
      <c r="I312" s="42"/>
      <c r="J312" s="38"/>
      <c r="K312" s="38"/>
      <c r="L312" s="1"/>
      <c r="M312" s="1"/>
      <c r="N312" s="1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40"/>
      <c r="AE312" s="40"/>
    </row>
    <row r="313" spans="1:31" x14ac:dyDescent="0.25">
      <c r="A313" s="2"/>
      <c r="B313" s="1"/>
      <c r="C313" s="22">
        <v>253</v>
      </c>
      <c r="D313" s="34">
        <f t="shared" si="19"/>
        <v>2.5300000000000002</v>
      </c>
      <c r="E313" s="30">
        <f t="shared" si="16"/>
        <v>0</v>
      </c>
      <c r="F313" s="31">
        <f t="shared" si="17"/>
        <v>0</v>
      </c>
      <c r="G313" s="32">
        <f t="shared" si="18"/>
        <v>0.23715415019762839</v>
      </c>
      <c r="H313" s="34">
        <f t="shared" si="20"/>
        <v>0.23715415019762839</v>
      </c>
      <c r="I313" s="42"/>
      <c r="J313" s="38"/>
      <c r="K313" s="38"/>
      <c r="L313" s="1"/>
      <c r="M313" s="1"/>
      <c r="N313" s="1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40"/>
      <c r="AE313" s="40"/>
    </row>
    <row r="314" spans="1:31" x14ac:dyDescent="0.25">
      <c r="A314" s="2"/>
      <c r="B314" s="1"/>
      <c r="C314" s="22">
        <v>254</v>
      </c>
      <c r="D314" s="34">
        <f t="shared" si="19"/>
        <v>2.54</v>
      </c>
      <c r="E314" s="30">
        <f t="shared" si="16"/>
        <v>0</v>
      </c>
      <c r="F314" s="31">
        <f t="shared" si="17"/>
        <v>0</v>
      </c>
      <c r="G314" s="32">
        <f t="shared" si="18"/>
        <v>0.23622047244094482</v>
      </c>
      <c r="H314" s="34">
        <f t="shared" si="20"/>
        <v>0.23622047244094482</v>
      </c>
      <c r="I314" s="42"/>
      <c r="J314" s="38"/>
      <c r="K314" s="38"/>
      <c r="L314" s="1"/>
      <c r="M314" s="1"/>
      <c r="N314" s="1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40"/>
      <c r="AE314" s="40"/>
    </row>
    <row r="315" spans="1:31" x14ac:dyDescent="0.25">
      <c r="A315" s="2"/>
      <c r="B315" s="1"/>
      <c r="C315" s="22">
        <v>255</v>
      </c>
      <c r="D315" s="34">
        <f t="shared" si="19"/>
        <v>2.5500000000000003</v>
      </c>
      <c r="E315" s="30">
        <f t="shared" si="16"/>
        <v>0</v>
      </c>
      <c r="F315" s="31">
        <f t="shared" si="17"/>
        <v>0</v>
      </c>
      <c r="G315" s="32">
        <f t="shared" si="18"/>
        <v>0.23529411764705874</v>
      </c>
      <c r="H315" s="34">
        <f t="shared" si="20"/>
        <v>0.23529411764705874</v>
      </c>
      <c r="I315" s="42"/>
      <c r="J315" s="38"/>
      <c r="K315" s="38"/>
      <c r="L315" s="1"/>
      <c r="M315" s="1"/>
      <c r="N315" s="1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40"/>
      <c r="AE315" s="40"/>
    </row>
    <row r="316" spans="1:31" x14ac:dyDescent="0.25">
      <c r="A316" s="2"/>
      <c r="B316" s="1"/>
      <c r="C316" s="22">
        <v>256</v>
      </c>
      <c r="D316" s="34">
        <f t="shared" si="19"/>
        <v>2.56</v>
      </c>
      <c r="E316" s="30">
        <f t="shared" ref="E316:E379" si="21">IF(D316&lt;$C$25,0.4+5*D316,0)</f>
        <v>0</v>
      </c>
      <c r="F316" s="31">
        <f t="shared" ref="F316:F379" si="22">IF(AND(D316&gt;=$C$25,D316&lt;=$C$26),$C$12,0)</f>
        <v>0</v>
      </c>
      <c r="G316" s="32">
        <f t="shared" ref="G316:G379" si="23">IF(D316&gt;$C$26,$C$13/D316,0)</f>
        <v>0.23437499999999994</v>
      </c>
      <c r="H316" s="34">
        <f t="shared" si="20"/>
        <v>0.23437499999999994</v>
      </c>
      <c r="I316" s="42"/>
      <c r="J316" s="38"/>
      <c r="K316" s="38"/>
      <c r="L316" s="1"/>
      <c r="M316" s="1"/>
      <c r="N316" s="1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40"/>
      <c r="AE316" s="40"/>
    </row>
    <row r="317" spans="1:31" x14ac:dyDescent="0.25">
      <c r="A317" s="2"/>
      <c r="B317" s="1"/>
      <c r="C317" s="22">
        <v>257</v>
      </c>
      <c r="D317" s="34">
        <f t="shared" ref="D317:D380" si="24">$D$55*C317</f>
        <v>2.57</v>
      </c>
      <c r="E317" s="30">
        <f t="shared" si="21"/>
        <v>0</v>
      </c>
      <c r="F317" s="31">
        <f t="shared" si="22"/>
        <v>0</v>
      </c>
      <c r="G317" s="32">
        <f t="shared" si="23"/>
        <v>0.23346303501945523</v>
      </c>
      <c r="H317" s="34">
        <f t="shared" si="20"/>
        <v>0.23346303501945523</v>
      </c>
      <c r="I317" s="42"/>
      <c r="J317" s="38"/>
      <c r="K317" s="38"/>
      <c r="L317" s="1"/>
      <c r="M317" s="1"/>
      <c r="N317" s="1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40"/>
      <c r="AE317" s="40"/>
    </row>
    <row r="318" spans="1:31" x14ac:dyDescent="0.25">
      <c r="A318" s="2"/>
      <c r="B318" s="1"/>
      <c r="C318" s="22">
        <v>258</v>
      </c>
      <c r="D318" s="34">
        <f t="shared" si="24"/>
        <v>2.58</v>
      </c>
      <c r="E318" s="30">
        <f t="shared" si="21"/>
        <v>0</v>
      </c>
      <c r="F318" s="31">
        <f t="shared" si="22"/>
        <v>0</v>
      </c>
      <c r="G318" s="32">
        <f t="shared" si="23"/>
        <v>0.23255813953488366</v>
      </c>
      <c r="H318" s="34">
        <f t="shared" si="20"/>
        <v>0.23255813953488366</v>
      </c>
      <c r="I318" s="42"/>
      <c r="J318" s="38"/>
      <c r="K318" s="38"/>
      <c r="L318" s="1"/>
      <c r="M318" s="1"/>
      <c r="N318" s="1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40"/>
      <c r="AE318" s="40"/>
    </row>
    <row r="319" spans="1:31" x14ac:dyDescent="0.25">
      <c r="A319" s="2"/>
      <c r="B319" s="1"/>
      <c r="C319" s="22">
        <v>259</v>
      </c>
      <c r="D319" s="34">
        <f t="shared" si="24"/>
        <v>2.59</v>
      </c>
      <c r="E319" s="30">
        <f t="shared" si="21"/>
        <v>0</v>
      </c>
      <c r="F319" s="31">
        <f t="shared" si="22"/>
        <v>0</v>
      </c>
      <c r="G319" s="32">
        <f t="shared" si="23"/>
        <v>0.23166023166023161</v>
      </c>
      <c r="H319" s="34">
        <f t="shared" si="20"/>
        <v>0.23166023166023161</v>
      </c>
      <c r="I319" s="42"/>
      <c r="J319" s="38"/>
      <c r="K319" s="38"/>
      <c r="L319" s="1"/>
      <c r="M319" s="1"/>
      <c r="N319" s="1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40"/>
      <c r="AE319" s="40"/>
    </row>
    <row r="320" spans="1:31" x14ac:dyDescent="0.25">
      <c r="A320" s="2"/>
      <c r="B320" s="1"/>
      <c r="C320" s="22">
        <v>260</v>
      </c>
      <c r="D320" s="34">
        <f t="shared" si="24"/>
        <v>2.6</v>
      </c>
      <c r="E320" s="30">
        <f t="shared" si="21"/>
        <v>0</v>
      </c>
      <c r="F320" s="31">
        <f t="shared" si="22"/>
        <v>0</v>
      </c>
      <c r="G320" s="32">
        <f t="shared" si="23"/>
        <v>0.2307692307692307</v>
      </c>
      <c r="H320" s="34">
        <f t="shared" si="20"/>
        <v>0.2307692307692307</v>
      </c>
      <c r="I320" s="42"/>
      <c r="J320" s="38"/>
      <c r="K320" s="38"/>
      <c r="L320" s="1"/>
      <c r="M320" s="1"/>
      <c r="N320" s="1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40"/>
      <c r="AE320" s="40"/>
    </row>
    <row r="321" spans="1:31" x14ac:dyDescent="0.25">
      <c r="A321" s="2"/>
      <c r="B321" s="1"/>
      <c r="C321" s="22">
        <v>261</v>
      </c>
      <c r="D321" s="34">
        <f t="shared" si="24"/>
        <v>2.61</v>
      </c>
      <c r="E321" s="30">
        <f t="shared" si="21"/>
        <v>0</v>
      </c>
      <c r="F321" s="31">
        <f t="shared" si="22"/>
        <v>0</v>
      </c>
      <c r="G321" s="32">
        <f t="shared" si="23"/>
        <v>0.22988505747126434</v>
      </c>
      <c r="H321" s="34">
        <f t="shared" si="20"/>
        <v>0.22988505747126434</v>
      </c>
      <c r="I321" s="42"/>
      <c r="J321" s="38"/>
      <c r="K321" s="38"/>
      <c r="L321" s="1"/>
      <c r="M321" s="1"/>
      <c r="N321" s="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40"/>
      <c r="AE321" s="40"/>
    </row>
    <row r="322" spans="1:31" x14ac:dyDescent="0.25">
      <c r="A322" s="2"/>
      <c r="B322" s="1"/>
      <c r="C322" s="22">
        <v>262</v>
      </c>
      <c r="D322" s="34">
        <f t="shared" si="24"/>
        <v>2.62</v>
      </c>
      <c r="E322" s="30">
        <f t="shared" si="21"/>
        <v>0</v>
      </c>
      <c r="F322" s="31">
        <f t="shared" si="22"/>
        <v>0</v>
      </c>
      <c r="G322" s="32">
        <f t="shared" si="23"/>
        <v>0.2290076335877862</v>
      </c>
      <c r="H322" s="34">
        <f t="shared" si="20"/>
        <v>0.2290076335877862</v>
      </c>
      <c r="I322" s="42"/>
      <c r="J322" s="38"/>
      <c r="K322" s="38"/>
      <c r="L322" s="1"/>
      <c r="M322" s="1"/>
      <c r="N322" s="1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40"/>
      <c r="AE322" s="40"/>
    </row>
    <row r="323" spans="1:31" x14ac:dyDescent="0.25">
      <c r="A323" s="2"/>
      <c r="B323" s="1"/>
      <c r="C323" s="22">
        <v>263</v>
      </c>
      <c r="D323" s="34">
        <f t="shared" si="24"/>
        <v>2.63</v>
      </c>
      <c r="E323" s="30">
        <f t="shared" si="21"/>
        <v>0</v>
      </c>
      <c r="F323" s="31">
        <f t="shared" si="22"/>
        <v>0</v>
      </c>
      <c r="G323" s="32">
        <f t="shared" si="23"/>
        <v>0.22813688212927752</v>
      </c>
      <c r="H323" s="34">
        <f t="shared" si="20"/>
        <v>0.22813688212927752</v>
      </c>
      <c r="I323" s="42"/>
      <c r="J323" s="38"/>
      <c r="K323" s="38"/>
      <c r="L323" s="1"/>
      <c r="M323" s="1"/>
      <c r="N323" s="1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40"/>
      <c r="AE323" s="40"/>
    </row>
    <row r="324" spans="1:31" x14ac:dyDescent="0.25">
      <c r="A324" s="2"/>
      <c r="B324" s="1"/>
      <c r="C324" s="22">
        <v>264</v>
      </c>
      <c r="D324" s="34">
        <f t="shared" si="24"/>
        <v>2.64</v>
      </c>
      <c r="E324" s="30">
        <f t="shared" si="21"/>
        <v>0</v>
      </c>
      <c r="F324" s="31">
        <f t="shared" si="22"/>
        <v>0</v>
      </c>
      <c r="G324" s="32">
        <f t="shared" si="23"/>
        <v>0.22727272727272721</v>
      </c>
      <c r="H324" s="34">
        <f t="shared" si="20"/>
        <v>0.22727272727272721</v>
      </c>
      <c r="I324" s="42"/>
      <c r="J324" s="38"/>
      <c r="K324" s="38"/>
      <c r="L324" s="1"/>
      <c r="M324" s="1"/>
      <c r="N324" s="1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40"/>
      <c r="AE324" s="40"/>
    </row>
    <row r="325" spans="1:31" x14ac:dyDescent="0.25">
      <c r="A325" s="2"/>
      <c r="B325" s="1"/>
      <c r="C325" s="22">
        <v>265</v>
      </c>
      <c r="D325" s="34">
        <f t="shared" si="24"/>
        <v>2.65</v>
      </c>
      <c r="E325" s="30">
        <f t="shared" si="21"/>
        <v>0</v>
      </c>
      <c r="F325" s="31">
        <f t="shared" si="22"/>
        <v>0</v>
      </c>
      <c r="G325" s="32">
        <f t="shared" si="23"/>
        <v>0.22641509433962259</v>
      </c>
      <c r="H325" s="34">
        <f t="shared" si="20"/>
        <v>0.22641509433962259</v>
      </c>
      <c r="I325" s="42"/>
      <c r="J325" s="38"/>
      <c r="K325" s="38"/>
      <c r="L325" s="1"/>
      <c r="M325" s="1"/>
      <c r="N325" s="1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40"/>
      <c r="AE325" s="40"/>
    </row>
    <row r="326" spans="1:31" x14ac:dyDescent="0.25">
      <c r="A326" s="2"/>
      <c r="B326" s="1"/>
      <c r="C326" s="22">
        <v>266</v>
      </c>
      <c r="D326" s="34">
        <f t="shared" si="24"/>
        <v>2.66</v>
      </c>
      <c r="E326" s="30">
        <f t="shared" si="21"/>
        <v>0</v>
      </c>
      <c r="F326" s="31">
        <f t="shared" si="22"/>
        <v>0</v>
      </c>
      <c r="G326" s="32">
        <f t="shared" si="23"/>
        <v>0.22556390977443602</v>
      </c>
      <c r="H326" s="34">
        <f t="shared" si="20"/>
        <v>0.22556390977443602</v>
      </c>
      <c r="I326" s="42"/>
      <c r="J326" s="38"/>
      <c r="K326" s="38"/>
      <c r="L326" s="1"/>
      <c r="M326" s="1"/>
      <c r="N326" s="1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40"/>
      <c r="AE326" s="40"/>
    </row>
    <row r="327" spans="1:31" x14ac:dyDescent="0.25">
      <c r="A327" s="2"/>
      <c r="B327" s="1"/>
      <c r="C327" s="22">
        <v>267</v>
      </c>
      <c r="D327" s="34">
        <f t="shared" si="24"/>
        <v>2.67</v>
      </c>
      <c r="E327" s="30">
        <f t="shared" si="21"/>
        <v>0</v>
      </c>
      <c r="F327" s="31">
        <f t="shared" si="22"/>
        <v>0</v>
      </c>
      <c r="G327" s="32">
        <f t="shared" si="23"/>
        <v>0.22471910112359547</v>
      </c>
      <c r="H327" s="34">
        <f t="shared" si="20"/>
        <v>0.22471910112359547</v>
      </c>
      <c r="I327" s="42"/>
      <c r="J327" s="38"/>
      <c r="K327" s="38"/>
      <c r="L327" s="1"/>
      <c r="M327" s="1"/>
      <c r="N327" s="1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40"/>
      <c r="AE327" s="40"/>
    </row>
    <row r="328" spans="1:31" x14ac:dyDescent="0.25">
      <c r="A328" s="2"/>
      <c r="B328" s="1"/>
      <c r="C328" s="22">
        <v>268</v>
      </c>
      <c r="D328" s="34">
        <f t="shared" si="24"/>
        <v>2.68</v>
      </c>
      <c r="E328" s="30">
        <f t="shared" si="21"/>
        <v>0</v>
      </c>
      <c r="F328" s="31">
        <f t="shared" si="22"/>
        <v>0</v>
      </c>
      <c r="G328" s="32">
        <f t="shared" si="23"/>
        <v>0.2238805970149253</v>
      </c>
      <c r="H328" s="34">
        <f t="shared" si="20"/>
        <v>0.2238805970149253</v>
      </c>
      <c r="I328" s="42"/>
      <c r="J328" s="38"/>
      <c r="K328" s="38"/>
      <c r="L328" s="1"/>
      <c r="M328" s="1"/>
      <c r="N328" s="1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40"/>
      <c r="AE328" s="40"/>
    </row>
    <row r="329" spans="1:31" x14ac:dyDescent="0.25">
      <c r="A329" s="2"/>
      <c r="B329" s="1"/>
      <c r="C329" s="22">
        <v>269</v>
      </c>
      <c r="D329" s="34">
        <f t="shared" si="24"/>
        <v>2.69</v>
      </c>
      <c r="E329" s="30">
        <f t="shared" si="21"/>
        <v>0</v>
      </c>
      <c r="F329" s="31">
        <f t="shared" si="22"/>
        <v>0</v>
      </c>
      <c r="G329" s="32">
        <f t="shared" si="23"/>
        <v>0.22304832713754644</v>
      </c>
      <c r="H329" s="34">
        <f t="shared" si="20"/>
        <v>0.22304832713754644</v>
      </c>
      <c r="I329" s="42"/>
      <c r="J329" s="38"/>
      <c r="K329" s="38"/>
      <c r="L329" s="1"/>
      <c r="M329" s="1"/>
      <c r="N329" s="1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40"/>
      <c r="AE329" s="40"/>
    </row>
    <row r="330" spans="1:31" x14ac:dyDescent="0.25">
      <c r="A330" s="2"/>
      <c r="B330" s="1"/>
      <c r="C330" s="22">
        <v>270</v>
      </c>
      <c r="D330" s="34">
        <f t="shared" si="24"/>
        <v>2.7</v>
      </c>
      <c r="E330" s="30">
        <f t="shared" si="21"/>
        <v>0</v>
      </c>
      <c r="F330" s="31">
        <f t="shared" si="22"/>
        <v>0</v>
      </c>
      <c r="G330" s="32">
        <f t="shared" si="23"/>
        <v>0.22222222222222215</v>
      </c>
      <c r="H330" s="34">
        <f t="shared" si="20"/>
        <v>0.22222222222222215</v>
      </c>
      <c r="I330" s="42"/>
      <c r="J330" s="38"/>
      <c r="K330" s="38"/>
      <c r="L330" s="1"/>
      <c r="M330" s="1"/>
      <c r="N330" s="1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40"/>
      <c r="AE330" s="40"/>
    </row>
    <row r="331" spans="1:31" x14ac:dyDescent="0.25">
      <c r="A331" s="2"/>
      <c r="B331" s="1"/>
      <c r="C331" s="22">
        <v>271</v>
      </c>
      <c r="D331" s="34">
        <f t="shared" si="24"/>
        <v>2.71</v>
      </c>
      <c r="E331" s="30">
        <f t="shared" si="21"/>
        <v>0</v>
      </c>
      <c r="F331" s="31">
        <f t="shared" si="22"/>
        <v>0</v>
      </c>
      <c r="G331" s="32">
        <f t="shared" si="23"/>
        <v>0.22140221402214016</v>
      </c>
      <c r="H331" s="34">
        <f t="shared" si="20"/>
        <v>0.22140221402214016</v>
      </c>
      <c r="I331" s="42"/>
      <c r="J331" s="38"/>
      <c r="K331" s="38"/>
      <c r="L331" s="1"/>
      <c r="M331" s="1"/>
      <c r="N331" s="1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40"/>
      <c r="AE331" s="40"/>
    </row>
    <row r="332" spans="1:31" x14ac:dyDescent="0.25">
      <c r="A332" s="2"/>
      <c r="B332" s="1"/>
      <c r="C332" s="22">
        <v>272</v>
      </c>
      <c r="D332" s="34">
        <f t="shared" si="24"/>
        <v>2.72</v>
      </c>
      <c r="E332" s="30">
        <f t="shared" si="21"/>
        <v>0</v>
      </c>
      <c r="F332" s="31">
        <f t="shared" si="22"/>
        <v>0</v>
      </c>
      <c r="G332" s="32">
        <f t="shared" si="23"/>
        <v>0.22058823529411759</v>
      </c>
      <c r="H332" s="34">
        <f t="shared" si="20"/>
        <v>0.22058823529411759</v>
      </c>
      <c r="I332" s="42"/>
      <c r="J332" s="38"/>
      <c r="K332" s="38"/>
      <c r="L332" s="1"/>
      <c r="M332" s="1"/>
      <c r="N332" s="1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40"/>
      <c r="AE332" s="40"/>
    </row>
    <row r="333" spans="1:31" x14ac:dyDescent="0.25">
      <c r="A333" s="2"/>
      <c r="B333" s="1"/>
      <c r="C333" s="22">
        <v>273</v>
      </c>
      <c r="D333" s="34">
        <f t="shared" si="24"/>
        <v>2.73</v>
      </c>
      <c r="E333" s="30">
        <f t="shared" si="21"/>
        <v>0</v>
      </c>
      <c r="F333" s="31">
        <f t="shared" si="22"/>
        <v>0</v>
      </c>
      <c r="G333" s="32">
        <f t="shared" si="23"/>
        <v>0.21978021978021972</v>
      </c>
      <c r="H333" s="34">
        <f t="shared" si="20"/>
        <v>0.21978021978021972</v>
      </c>
      <c r="I333" s="42"/>
      <c r="J333" s="38"/>
      <c r="K333" s="38"/>
      <c r="L333" s="1"/>
      <c r="M333" s="1"/>
      <c r="N333" s="1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40"/>
      <c r="AE333" s="40"/>
    </row>
    <row r="334" spans="1:31" x14ac:dyDescent="0.25">
      <c r="A334" s="2"/>
      <c r="B334" s="1"/>
      <c r="C334" s="22">
        <v>274</v>
      </c>
      <c r="D334" s="34">
        <f t="shared" si="24"/>
        <v>2.74</v>
      </c>
      <c r="E334" s="30">
        <f t="shared" si="21"/>
        <v>0</v>
      </c>
      <c r="F334" s="31">
        <f t="shared" si="22"/>
        <v>0</v>
      </c>
      <c r="G334" s="32">
        <f t="shared" si="23"/>
        <v>0.21897810218978095</v>
      </c>
      <c r="H334" s="34">
        <f t="shared" si="20"/>
        <v>0.21897810218978095</v>
      </c>
      <c r="I334" s="42"/>
      <c r="J334" s="38"/>
      <c r="K334" s="38"/>
      <c r="L334" s="1"/>
      <c r="M334" s="1"/>
      <c r="N334" s="1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40"/>
      <c r="AE334" s="40"/>
    </row>
    <row r="335" spans="1:31" x14ac:dyDescent="0.25">
      <c r="A335" s="2"/>
      <c r="B335" s="1"/>
      <c r="C335" s="22">
        <v>275</v>
      </c>
      <c r="D335" s="34">
        <f t="shared" si="24"/>
        <v>2.75</v>
      </c>
      <c r="E335" s="30">
        <f t="shared" si="21"/>
        <v>0</v>
      </c>
      <c r="F335" s="31">
        <f t="shared" si="22"/>
        <v>0</v>
      </c>
      <c r="G335" s="32">
        <f t="shared" si="23"/>
        <v>0.21818181818181814</v>
      </c>
      <c r="H335" s="34">
        <f t="shared" si="20"/>
        <v>0.21818181818181814</v>
      </c>
      <c r="I335" s="42"/>
      <c r="J335" s="38"/>
      <c r="K335" s="38"/>
      <c r="L335" s="1"/>
      <c r="M335" s="1"/>
      <c r="N335" s="1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40"/>
      <c r="AE335" s="40"/>
    </row>
    <row r="336" spans="1:31" x14ac:dyDescent="0.25">
      <c r="A336" s="2"/>
      <c r="B336" s="1"/>
      <c r="C336" s="22">
        <v>276</v>
      </c>
      <c r="D336" s="34">
        <f t="shared" si="24"/>
        <v>2.7600000000000002</v>
      </c>
      <c r="E336" s="30">
        <f t="shared" si="21"/>
        <v>0</v>
      </c>
      <c r="F336" s="31">
        <f t="shared" si="22"/>
        <v>0</v>
      </c>
      <c r="G336" s="32">
        <f t="shared" si="23"/>
        <v>0.21739130434782603</v>
      </c>
      <c r="H336" s="34">
        <f t="shared" si="20"/>
        <v>0.21739130434782603</v>
      </c>
      <c r="I336" s="42"/>
      <c r="J336" s="38"/>
      <c r="K336" s="38"/>
      <c r="L336" s="1"/>
      <c r="M336" s="1"/>
      <c r="N336" s="1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40"/>
      <c r="AE336" s="40"/>
    </row>
    <row r="337" spans="1:31" x14ac:dyDescent="0.25">
      <c r="A337" s="2"/>
      <c r="B337" s="1"/>
      <c r="C337" s="22">
        <v>277</v>
      </c>
      <c r="D337" s="34">
        <f t="shared" si="24"/>
        <v>2.77</v>
      </c>
      <c r="E337" s="30">
        <f t="shared" si="21"/>
        <v>0</v>
      </c>
      <c r="F337" s="31">
        <f t="shared" si="22"/>
        <v>0</v>
      </c>
      <c r="G337" s="32">
        <f t="shared" si="23"/>
        <v>0.21660649819494579</v>
      </c>
      <c r="H337" s="34">
        <f t="shared" si="20"/>
        <v>0.21660649819494579</v>
      </c>
      <c r="I337" s="42"/>
      <c r="J337" s="38"/>
      <c r="K337" s="38"/>
      <c r="L337" s="1"/>
      <c r="M337" s="1"/>
      <c r="N337" s="1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40"/>
      <c r="AE337" s="40"/>
    </row>
    <row r="338" spans="1:31" x14ac:dyDescent="0.25">
      <c r="A338" s="2"/>
      <c r="B338" s="1"/>
      <c r="C338" s="22">
        <v>278</v>
      </c>
      <c r="D338" s="34">
        <f t="shared" si="24"/>
        <v>2.7800000000000002</v>
      </c>
      <c r="E338" s="30">
        <f t="shared" si="21"/>
        <v>0</v>
      </c>
      <c r="F338" s="31">
        <f t="shared" si="22"/>
        <v>0</v>
      </c>
      <c r="G338" s="32">
        <f t="shared" si="23"/>
        <v>0.21582733812949634</v>
      </c>
      <c r="H338" s="34">
        <f t="shared" si="20"/>
        <v>0.21582733812949634</v>
      </c>
      <c r="I338" s="42"/>
      <c r="J338" s="38"/>
      <c r="K338" s="38"/>
      <c r="L338" s="1"/>
      <c r="M338" s="1"/>
      <c r="N338" s="1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40"/>
      <c r="AE338" s="40"/>
    </row>
    <row r="339" spans="1:31" x14ac:dyDescent="0.25">
      <c r="A339" s="2"/>
      <c r="B339" s="1"/>
      <c r="C339" s="22">
        <v>279</v>
      </c>
      <c r="D339" s="34">
        <f t="shared" si="24"/>
        <v>2.79</v>
      </c>
      <c r="E339" s="30">
        <f t="shared" si="21"/>
        <v>0</v>
      </c>
      <c r="F339" s="31">
        <f t="shared" si="22"/>
        <v>0</v>
      </c>
      <c r="G339" s="32">
        <f t="shared" si="23"/>
        <v>0.21505376344086016</v>
      </c>
      <c r="H339" s="34">
        <f t="shared" si="20"/>
        <v>0.21505376344086016</v>
      </c>
      <c r="I339" s="42"/>
      <c r="J339" s="38"/>
      <c r="K339" s="38"/>
      <c r="L339" s="1"/>
      <c r="M339" s="1"/>
      <c r="N339" s="1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40"/>
      <c r="AE339" s="40"/>
    </row>
    <row r="340" spans="1:31" x14ac:dyDescent="0.25">
      <c r="A340" s="2"/>
      <c r="B340" s="1"/>
      <c r="C340" s="22">
        <v>280</v>
      </c>
      <c r="D340" s="34">
        <f t="shared" si="24"/>
        <v>2.8000000000000003</v>
      </c>
      <c r="E340" s="30">
        <f t="shared" si="21"/>
        <v>0</v>
      </c>
      <c r="F340" s="31">
        <f t="shared" si="22"/>
        <v>0</v>
      </c>
      <c r="G340" s="32">
        <f t="shared" si="23"/>
        <v>0.21428571428571422</v>
      </c>
      <c r="H340" s="34">
        <f t="shared" si="20"/>
        <v>0.21428571428571422</v>
      </c>
      <c r="I340" s="42"/>
      <c r="J340" s="38"/>
      <c r="K340" s="38"/>
      <c r="L340" s="1"/>
      <c r="M340" s="1"/>
      <c r="N340" s="1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40"/>
      <c r="AE340" s="40"/>
    </row>
    <row r="341" spans="1:31" x14ac:dyDescent="0.25">
      <c r="A341" s="2"/>
      <c r="B341" s="1"/>
      <c r="C341" s="22">
        <v>281</v>
      </c>
      <c r="D341" s="34">
        <f t="shared" si="24"/>
        <v>2.81</v>
      </c>
      <c r="E341" s="30">
        <f t="shared" si="21"/>
        <v>0</v>
      </c>
      <c r="F341" s="31">
        <f t="shared" si="22"/>
        <v>0</v>
      </c>
      <c r="G341" s="32">
        <f t="shared" si="23"/>
        <v>0.21352313167259782</v>
      </c>
      <c r="H341" s="34">
        <f t="shared" si="20"/>
        <v>0.21352313167259782</v>
      </c>
      <c r="I341" s="42"/>
      <c r="J341" s="38"/>
      <c r="K341" s="38"/>
      <c r="L341" s="1"/>
      <c r="M341" s="1"/>
      <c r="N341" s="1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40"/>
      <c r="AE341" s="40"/>
    </row>
    <row r="342" spans="1:31" x14ac:dyDescent="0.25">
      <c r="A342" s="2"/>
      <c r="B342" s="1"/>
      <c r="C342" s="22">
        <v>282</v>
      </c>
      <c r="D342" s="34">
        <f t="shared" si="24"/>
        <v>2.82</v>
      </c>
      <c r="E342" s="30">
        <f t="shared" si="21"/>
        <v>0</v>
      </c>
      <c r="F342" s="31">
        <f t="shared" si="22"/>
        <v>0</v>
      </c>
      <c r="G342" s="32">
        <f t="shared" si="23"/>
        <v>0.21276595744680848</v>
      </c>
      <c r="H342" s="34">
        <f t="shared" si="20"/>
        <v>0.21276595744680848</v>
      </c>
      <c r="I342" s="42"/>
      <c r="J342" s="38"/>
      <c r="K342" s="38"/>
      <c r="L342" s="1"/>
      <c r="M342" s="1"/>
      <c r="N342" s="1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40"/>
      <c r="AE342" s="40"/>
    </row>
    <row r="343" spans="1:31" x14ac:dyDescent="0.25">
      <c r="A343" s="2"/>
      <c r="B343" s="1"/>
      <c r="C343" s="22">
        <v>283</v>
      </c>
      <c r="D343" s="34">
        <f t="shared" si="24"/>
        <v>2.83</v>
      </c>
      <c r="E343" s="30">
        <f t="shared" si="21"/>
        <v>0</v>
      </c>
      <c r="F343" s="31">
        <f t="shared" si="22"/>
        <v>0</v>
      </c>
      <c r="G343" s="32">
        <f t="shared" si="23"/>
        <v>0.21201413427561833</v>
      </c>
      <c r="H343" s="34">
        <f t="shared" si="20"/>
        <v>0.21201413427561833</v>
      </c>
      <c r="I343" s="42"/>
      <c r="J343" s="38"/>
      <c r="K343" s="38"/>
      <c r="L343" s="1"/>
      <c r="M343" s="1"/>
      <c r="N343" s="1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40"/>
      <c r="AE343" s="40"/>
    </row>
    <row r="344" spans="1:31" x14ac:dyDescent="0.25">
      <c r="A344" s="2"/>
      <c r="B344" s="1"/>
      <c r="C344" s="22">
        <v>284</v>
      </c>
      <c r="D344" s="34">
        <f t="shared" si="24"/>
        <v>2.84</v>
      </c>
      <c r="E344" s="30">
        <f t="shared" si="21"/>
        <v>0</v>
      </c>
      <c r="F344" s="31">
        <f t="shared" si="22"/>
        <v>0</v>
      </c>
      <c r="G344" s="32">
        <f t="shared" si="23"/>
        <v>0.21126760563380279</v>
      </c>
      <c r="H344" s="34">
        <f t="shared" si="20"/>
        <v>0.21126760563380279</v>
      </c>
      <c r="I344" s="42"/>
      <c r="J344" s="38"/>
      <c r="K344" s="38"/>
      <c r="L344" s="1"/>
      <c r="M344" s="1"/>
      <c r="N344" s="1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40"/>
      <c r="AE344" s="40"/>
    </row>
    <row r="345" spans="1:31" x14ac:dyDescent="0.25">
      <c r="A345" s="2"/>
      <c r="B345" s="1"/>
      <c r="C345" s="22">
        <v>285</v>
      </c>
      <c r="D345" s="34">
        <f t="shared" si="24"/>
        <v>2.85</v>
      </c>
      <c r="E345" s="30">
        <f t="shared" si="21"/>
        <v>0</v>
      </c>
      <c r="F345" s="31">
        <f t="shared" si="22"/>
        <v>0</v>
      </c>
      <c r="G345" s="32">
        <f t="shared" si="23"/>
        <v>0.21052631578947364</v>
      </c>
      <c r="H345" s="34">
        <f t="shared" si="20"/>
        <v>0.21052631578947364</v>
      </c>
      <c r="I345" s="42"/>
      <c r="J345" s="38"/>
      <c r="K345" s="38"/>
      <c r="L345" s="1"/>
      <c r="M345" s="1"/>
      <c r="N345" s="1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40"/>
      <c r="AE345" s="40"/>
    </row>
    <row r="346" spans="1:31" x14ac:dyDescent="0.25">
      <c r="A346" s="2"/>
      <c r="B346" s="1"/>
      <c r="C346" s="22">
        <v>286</v>
      </c>
      <c r="D346" s="34">
        <f t="shared" si="24"/>
        <v>2.86</v>
      </c>
      <c r="E346" s="30">
        <f t="shared" si="21"/>
        <v>0</v>
      </c>
      <c r="F346" s="31">
        <f t="shared" si="22"/>
        <v>0</v>
      </c>
      <c r="G346" s="32">
        <f t="shared" si="23"/>
        <v>0.20979020979020976</v>
      </c>
      <c r="H346" s="34">
        <f t="shared" si="20"/>
        <v>0.20979020979020976</v>
      </c>
      <c r="I346" s="42"/>
      <c r="J346" s="38"/>
      <c r="K346" s="38"/>
      <c r="L346" s="1"/>
      <c r="M346" s="1"/>
      <c r="N346" s="1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40"/>
      <c r="AE346" s="40"/>
    </row>
    <row r="347" spans="1:31" x14ac:dyDescent="0.25">
      <c r="A347" s="2"/>
      <c r="B347" s="1"/>
      <c r="C347" s="22">
        <v>287</v>
      </c>
      <c r="D347" s="34">
        <f t="shared" si="24"/>
        <v>2.87</v>
      </c>
      <c r="E347" s="30">
        <f t="shared" si="21"/>
        <v>0</v>
      </c>
      <c r="F347" s="31">
        <f t="shared" si="22"/>
        <v>0</v>
      </c>
      <c r="G347" s="32">
        <f t="shared" si="23"/>
        <v>0.2090592334494773</v>
      </c>
      <c r="H347" s="34">
        <f t="shared" si="20"/>
        <v>0.2090592334494773</v>
      </c>
      <c r="I347" s="42"/>
      <c r="J347" s="38"/>
      <c r="K347" s="38"/>
      <c r="L347" s="1"/>
      <c r="M347" s="1"/>
      <c r="N347" s="1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40"/>
      <c r="AE347" s="40"/>
    </row>
    <row r="348" spans="1:31" x14ac:dyDescent="0.25">
      <c r="A348" s="2"/>
      <c r="B348" s="1"/>
      <c r="C348" s="22">
        <v>288</v>
      </c>
      <c r="D348" s="34">
        <f t="shared" si="24"/>
        <v>2.88</v>
      </c>
      <c r="E348" s="30">
        <f t="shared" si="21"/>
        <v>0</v>
      </c>
      <c r="F348" s="31">
        <f t="shared" si="22"/>
        <v>0</v>
      </c>
      <c r="G348" s="32">
        <f t="shared" si="23"/>
        <v>0.20833333333333329</v>
      </c>
      <c r="H348" s="34">
        <f t="shared" si="20"/>
        <v>0.20833333333333329</v>
      </c>
      <c r="I348" s="42"/>
      <c r="J348" s="38"/>
      <c r="K348" s="38"/>
      <c r="L348" s="1"/>
      <c r="M348" s="1"/>
      <c r="N348" s="1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40"/>
      <c r="AE348" s="40"/>
    </row>
    <row r="349" spans="1:31" x14ac:dyDescent="0.25">
      <c r="A349" s="2"/>
      <c r="B349" s="1"/>
      <c r="C349" s="22">
        <v>289</v>
      </c>
      <c r="D349" s="34">
        <f t="shared" si="24"/>
        <v>2.89</v>
      </c>
      <c r="E349" s="30">
        <f t="shared" si="21"/>
        <v>0</v>
      </c>
      <c r="F349" s="31">
        <f t="shared" si="22"/>
        <v>0</v>
      </c>
      <c r="G349" s="32">
        <f t="shared" si="23"/>
        <v>0.20761245674740478</v>
      </c>
      <c r="H349" s="34">
        <f t="shared" si="20"/>
        <v>0.20761245674740478</v>
      </c>
      <c r="I349" s="42"/>
      <c r="J349" s="38"/>
      <c r="K349" s="38"/>
      <c r="L349" s="1"/>
      <c r="M349" s="1"/>
      <c r="N349" s="1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40"/>
      <c r="AE349" s="40"/>
    </row>
    <row r="350" spans="1:31" x14ac:dyDescent="0.25">
      <c r="A350" s="2"/>
      <c r="B350" s="1"/>
      <c r="C350" s="22">
        <v>290</v>
      </c>
      <c r="D350" s="34">
        <f t="shared" si="24"/>
        <v>2.9</v>
      </c>
      <c r="E350" s="30">
        <f t="shared" si="21"/>
        <v>0</v>
      </c>
      <c r="F350" s="31">
        <f t="shared" si="22"/>
        <v>0</v>
      </c>
      <c r="G350" s="32">
        <f t="shared" si="23"/>
        <v>0.2068965517241379</v>
      </c>
      <c r="H350" s="34">
        <f t="shared" si="20"/>
        <v>0.2068965517241379</v>
      </c>
      <c r="I350" s="42"/>
      <c r="J350" s="38"/>
      <c r="K350" s="38"/>
      <c r="L350" s="1"/>
      <c r="M350" s="1"/>
      <c r="N350" s="1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40"/>
      <c r="AE350" s="40"/>
    </row>
    <row r="351" spans="1:31" x14ac:dyDescent="0.25">
      <c r="A351" s="2"/>
      <c r="B351" s="1"/>
      <c r="C351" s="22">
        <v>291</v>
      </c>
      <c r="D351" s="34">
        <f t="shared" si="24"/>
        <v>2.91</v>
      </c>
      <c r="E351" s="30">
        <f t="shared" si="21"/>
        <v>0</v>
      </c>
      <c r="F351" s="31">
        <f t="shared" si="22"/>
        <v>0</v>
      </c>
      <c r="G351" s="32">
        <f t="shared" si="23"/>
        <v>0.20618556701030921</v>
      </c>
      <c r="H351" s="34">
        <f t="shared" si="20"/>
        <v>0.20618556701030921</v>
      </c>
      <c r="I351" s="42"/>
      <c r="J351" s="38"/>
      <c r="K351" s="38"/>
      <c r="L351" s="1"/>
      <c r="M351" s="1"/>
      <c r="N351" s="1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40"/>
      <c r="AE351" s="40"/>
    </row>
    <row r="352" spans="1:31" x14ac:dyDescent="0.25">
      <c r="A352" s="2"/>
      <c r="B352" s="1"/>
      <c r="C352" s="22">
        <v>292</v>
      </c>
      <c r="D352" s="34">
        <f t="shared" si="24"/>
        <v>2.92</v>
      </c>
      <c r="E352" s="30">
        <f t="shared" si="21"/>
        <v>0</v>
      </c>
      <c r="F352" s="31">
        <f t="shared" si="22"/>
        <v>0</v>
      </c>
      <c r="G352" s="32">
        <f t="shared" si="23"/>
        <v>0.20547945205479448</v>
      </c>
      <c r="H352" s="34">
        <f t="shared" si="20"/>
        <v>0.20547945205479448</v>
      </c>
      <c r="I352" s="42"/>
      <c r="J352" s="38"/>
      <c r="K352" s="38"/>
      <c r="L352" s="1"/>
      <c r="M352" s="1"/>
      <c r="N352" s="1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40"/>
      <c r="AE352" s="40"/>
    </row>
    <row r="353" spans="1:31" x14ac:dyDescent="0.25">
      <c r="A353" s="2"/>
      <c r="B353" s="1"/>
      <c r="C353" s="22">
        <v>293</v>
      </c>
      <c r="D353" s="34">
        <f t="shared" si="24"/>
        <v>2.93</v>
      </c>
      <c r="E353" s="30">
        <f t="shared" si="21"/>
        <v>0</v>
      </c>
      <c r="F353" s="31">
        <f t="shared" si="22"/>
        <v>0</v>
      </c>
      <c r="G353" s="32">
        <f t="shared" si="23"/>
        <v>0.20477815699658697</v>
      </c>
      <c r="H353" s="34">
        <f t="shared" ref="H353:H416" si="25">SUM(E353:G353)</f>
        <v>0.20477815699658697</v>
      </c>
      <c r="I353" s="42"/>
      <c r="J353" s="38"/>
      <c r="K353" s="38"/>
      <c r="L353" s="1"/>
      <c r="M353" s="1"/>
      <c r="N353" s="1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40"/>
      <c r="AE353" s="40"/>
    </row>
    <row r="354" spans="1:31" x14ac:dyDescent="0.25">
      <c r="A354" s="2"/>
      <c r="B354" s="1"/>
      <c r="C354" s="22">
        <v>294</v>
      </c>
      <c r="D354" s="34">
        <f t="shared" si="24"/>
        <v>2.94</v>
      </c>
      <c r="E354" s="30">
        <f t="shared" si="21"/>
        <v>0</v>
      </c>
      <c r="F354" s="31">
        <f t="shared" si="22"/>
        <v>0</v>
      </c>
      <c r="G354" s="32">
        <f t="shared" si="23"/>
        <v>0.20408163265306117</v>
      </c>
      <c r="H354" s="34">
        <f t="shared" si="25"/>
        <v>0.20408163265306117</v>
      </c>
      <c r="I354" s="42"/>
      <c r="J354" s="38"/>
      <c r="K354" s="38"/>
      <c r="L354" s="1"/>
      <c r="M354" s="1"/>
      <c r="N354" s="1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40"/>
      <c r="AE354" s="40"/>
    </row>
    <row r="355" spans="1:31" x14ac:dyDescent="0.25">
      <c r="A355" s="2"/>
      <c r="B355" s="1"/>
      <c r="C355" s="22">
        <v>295</v>
      </c>
      <c r="D355" s="34">
        <f t="shared" si="24"/>
        <v>2.95</v>
      </c>
      <c r="E355" s="30">
        <f t="shared" si="21"/>
        <v>0</v>
      </c>
      <c r="F355" s="31">
        <f t="shared" si="22"/>
        <v>0</v>
      </c>
      <c r="G355" s="32">
        <f t="shared" si="23"/>
        <v>0.20338983050847451</v>
      </c>
      <c r="H355" s="34">
        <f t="shared" si="25"/>
        <v>0.20338983050847451</v>
      </c>
      <c r="I355" s="42"/>
      <c r="J355" s="38"/>
      <c r="K355" s="38"/>
      <c r="L355" s="1"/>
      <c r="M355" s="1"/>
      <c r="N355" s="1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40"/>
      <c r="AE355" s="40"/>
    </row>
    <row r="356" spans="1:31" x14ac:dyDescent="0.25">
      <c r="A356" s="2"/>
      <c r="B356" s="1"/>
      <c r="C356" s="22">
        <v>296</v>
      </c>
      <c r="D356" s="34">
        <f t="shared" si="24"/>
        <v>2.96</v>
      </c>
      <c r="E356" s="30">
        <f t="shared" si="21"/>
        <v>0</v>
      </c>
      <c r="F356" s="31">
        <f t="shared" si="22"/>
        <v>0</v>
      </c>
      <c r="G356" s="32">
        <f t="shared" si="23"/>
        <v>0.20270270270270266</v>
      </c>
      <c r="H356" s="34">
        <f t="shared" si="25"/>
        <v>0.20270270270270266</v>
      </c>
      <c r="I356" s="42"/>
      <c r="J356" s="38"/>
      <c r="K356" s="38"/>
      <c r="L356" s="1"/>
      <c r="M356" s="1"/>
      <c r="N356" s="1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40"/>
      <c r="AE356" s="40"/>
    </row>
    <row r="357" spans="1:31" x14ac:dyDescent="0.25">
      <c r="A357" s="2"/>
      <c r="B357" s="1"/>
      <c r="C357" s="22">
        <v>297</v>
      </c>
      <c r="D357" s="34">
        <f t="shared" si="24"/>
        <v>2.97</v>
      </c>
      <c r="E357" s="30">
        <f t="shared" si="21"/>
        <v>0</v>
      </c>
      <c r="F357" s="31">
        <f t="shared" si="22"/>
        <v>0</v>
      </c>
      <c r="G357" s="32">
        <f t="shared" si="23"/>
        <v>0.20202020202020196</v>
      </c>
      <c r="H357" s="34">
        <f t="shared" si="25"/>
        <v>0.20202020202020196</v>
      </c>
      <c r="I357" s="42"/>
      <c r="J357" s="38"/>
      <c r="K357" s="38"/>
      <c r="L357" s="1"/>
      <c r="M357" s="1"/>
      <c r="N357" s="1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40"/>
      <c r="AE357" s="40"/>
    </row>
    <row r="358" spans="1:31" x14ac:dyDescent="0.25">
      <c r="A358" s="2"/>
      <c r="B358" s="1"/>
      <c r="C358" s="22">
        <v>298</v>
      </c>
      <c r="D358" s="34">
        <f t="shared" si="24"/>
        <v>2.98</v>
      </c>
      <c r="E358" s="30">
        <f t="shared" si="21"/>
        <v>0</v>
      </c>
      <c r="F358" s="31">
        <f t="shared" si="22"/>
        <v>0</v>
      </c>
      <c r="G358" s="32">
        <f t="shared" si="23"/>
        <v>0.20134228187919459</v>
      </c>
      <c r="H358" s="34">
        <f t="shared" si="25"/>
        <v>0.20134228187919459</v>
      </c>
      <c r="I358" s="42"/>
      <c r="J358" s="38"/>
      <c r="K358" s="38"/>
      <c r="L358" s="1"/>
      <c r="M358" s="1"/>
      <c r="N358" s="1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40"/>
      <c r="AE358" s="40"/>
    </row>
    <row r="359" spans="1:31" x14ac:dyDescent="0.25">
      <c r="A359" s="2"/>
      <c r="B359" s="1"/>
      <c r="C359" s="22">
        <v>299</v>
      </c>
      <c r="D359" s="34">
        <f t="shared" si="24"/>
        <v>2.99</v>
      </c>
      <c r="E359" s="30">
        <f t="shared" si="21"/>
        <v>0</v>
      </c>
      <c r="F359" s="31">
        <f t="shared" si="22"/>
        <v>0</v>
      </c>
      <c r="G359" s="32">
        <f t="shared" si="23"/>
        <v>0.20066889632107018</v>
      </c>
      <c r="H359" s="34">
        <f t="shared" si="25"/>
        <v>0.20066889632107018</v>
      </c>
      <c r="I359" s="42"/>
      <c r="J359" s="38"/>
      <c r="K359" s="38"/>
      <c r="L359" s="1"/>
      <c r="M359" s="1"/>
      <c r="N359" s="1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40"/>
      <c r="AE359" s="40"/>
    </row>
    <row r="360" spans="1:31" x14ac:dyDescent="0.25">
      <c r="A360" s="2"/>
      <c r="B360" s="1"/>
      <c r="C360" s="22">
        <v>300</v>
      </c>
      <c r="D360" s="34">
        <f t="shared" si="24"/>
        <v>3</v>
      </c>
      <c r="E360" s="30">
        <f t="shared" si="21"/>
        <v>0</v>
      </c>
      <c r="F360" s="31">
        <f t="shared" si="22"/>
        <v>0</v>
      </c>
      <c r="G360" s="32">
        <f t="shared" si="23"/>
        <v>0.19999999999999996</v>
      </c>
      <c r="H360" s="34">
        <f t="shared" si="25"/>
        <v>0.19999999999999996</v>
      </c>
      <c r="I360" s="42"/>
      <c r="J360" s="38"/>
      <c r="K360" s="38"/>
      <c r="L360" s="1"/>
      <c r="M360" s="1"/>
      <c r="N360" s="1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40"/>
      <c r="AE360" s="40"/>
    </row>
    <row r="361" spans="1:31" x14ac:dyDescent="0.25">
      <c r="A361" s="2"/>
      <c r="B361" s="1"/>
      <c r="C361" s="22">
        <v>301</v>
      </c>
      <c r="D361" s="34">
        <f t="shared" si="24"/>
        <v>3.0100000000000002</v>
      </c>
      <c r="E361" s="30">
        <f t="shared" si="21"/>
        <v>0</v>
      </c>
      <c r="F361" s="31">
        <f t="shared" si="22"/>
        <v>0</v>
      </c>
      <c r="G361" s="32">
        <f t="shared" si="23"/>
        <v>0.19933554817275742</v>
      </c>
      <c r="H361" s="34">
        <f t="shared" si="25"/>
        <v>0.19933554817275742</v>
      </c>
      <c r="I361" s="42"/>
      <c r="J361" s="38"/>
      <c r="K361" s="38"/>
      <c r="L361" s="1"/>
      <c r="M361" s="1"/>
      <c r="N361" s="1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40"/>
      <c r="AE361" s="40"/>
    </row>
    <row r="362" spans="1:31" x14ac:dyDescent="0.25">
      <c r="A362" s="2"/>
      <c r="B362" s="1"/>
      <c r="C362" s="22">
        <v>302</v>
      </c>
      <c r="D362" s="34">
        <f t="shared" si="24"/>
        <v>3.02</v>
      </c>
      <c r="E362" s="30">
        <f t="shared" si="21"/>
        <v>0</v>
      </c>
      <c r="F362" s="31">
        <f t="shared" si="22"/>
        <v>0</v>
      </c>
      <c r="G362" s="32">
        <f t="shared" si="23"/>
        <v>0.19867549668874168</v>
      </c>
      <c r="H362" s="34">
        <f t="shared" si="25"/>
        <v>0.19867549668874168</v>
      </c>
      <c r="I362" s="42"/>
      <c r="J362" s="38"/>
      <c r="K362" s="38"/>
      <c r="L362" s="1"/>
      <c r="M362" s="1"/>
      <c r="N362" s="1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40"/>
      <c r="AE362" s="40"/>
    </row>
    <row r="363" spans="1:31" x14ac:dyDescent="0.25">
      <c r="A363" s="2"/>
      <c r="B363" s="1"/>
      <c r="C363" s="22">
        <v>303</v>
      </c>
      <c r="D363" s="34">
        <f t="shared" si="24"/>
        <v>3.0300000000000002</v>
      </c>
      <c r="E363" s="30">
        <f t="shared" si="21"/>
        <v>0</v>
      </c>
      <c r="F363" s="31">
        <f t="shared" si="22"/>
        <v>0</v>
      </c>
      <c r="G363" s="32">
        <f t="shared" si="23"/>
        <v>0.19801980198019795</v>
      </c>
      <c r="H363" s="34">
        <f t="shared" si="25"/>
        <v>0.19801980198019795</v>
      </c>
      <c r="I363" s="42"/>
      <c r="J363" s="38"/>
      <c r="K363" s="38"/>
      <c r="L363" s="1"/>
      <c r="M363" s="1"/>
      <c r="N363" s="1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40"/>
      <c r="AE363" s="40"/>
    </row>
    <row r="364" spans="1:31" x14ac:dyDescent="0.25">
      <c r="A364" s="2"/>
      <c r="B364" s="1"/>
      <c r="C364" s="22">
        <v>304</v>
      </c>
      <c r="D364" s="34">
        <f t="shared" si="24"/>
        <v>3.04</v>
      </c>
      <c r="E364" s="30">
        <f t="shared" si="21"/>
        <v>0</v>
      </c>
      <c r="F364" s="31">
        <f t="shared" si="22"/>
        <v>0</v>
      </c>
      <c r="G364" s="32">
        <f t="shared" si="23"/>
        <v>0.19736842105263153</v>
      </c>
      <c r="H364" s="34">
        <f t="shared" si="25"/>
        <v>0.19736842105263153</v>
      </c>
      <c r="I364" s="42"/>
      <c r="J364" s="38"/>
      <c r="K364" s="38"/>
      <c r="L364" s="1"/>
      <c r="M364" s="1"/>
      <c r="N364" s="1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40"/>
      <c r="AE364" s="40"/>
    </row>
    <row r="365" spans="1:31" x14ac:dyDescent="0.25">
      <c r="A365" s="2"/>
      <c r="B365" s="1"/>
      <c r="C365" s="22">
        <v>305</v>
      </c>
      <c r="D365" s="34">
        <f t="shared" si="24"/>
        <v>3.0500000000000003</v>
      </c>
      <c r="E365" s="30">
        <f t="shared" si="21"/>
        <v>0</v>
      </c>
      <c r="F365" s="31">
        <f t="shared" si="22"/>
        <v>0</v>
      </c>
      <c r="G365" s="32">
        <f t="shared" si="23"/>
        <v>0.19672131147540978</v>
      </c>
      <c r="H365" s="34">
        <f t="shared" si="25"/>
        <v>0.19672131147540978</v>
      </c>
      <c r="I365" s="42"/>
      <c r="J365" s="38"/>
      <c r="K365" s="38"/>
      <c r="L365" s="1"/>
      <c r="M365" s="1"/>
      <c r="N365" s="1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40"/>
      <c r="AE365" s="40"/>
    </row>
    <row r="366" spans="1:31" x14ac:dyDescent="0.25">
      <c r="A366" s="2"/>
      <c r="B366" s="1"/>
      <c r="C366" s="22">
        <v>306</v>
      </c>
      <c r="D366" s="34">
        <f t="shared" si="24"/>
        <v>3.06</v>
      </c>
      <c r="E366" s="30">
        <f t="shared" si="21"/>
        <v>0</v>
      </c>
      <c r="F366" s="31">
        <f t="shared" si="22"/>
        <v>0</v>
      </c>
      <c r="G366" s="32">
        <f t="shared" si="23"/>
        <v>0.19607843137254896</v>
      </c>
      <c r="H366" s="34">
        <f t="shared" si="25"/>
        <v>0.19607843137254896</v>
      </c>
      <c r="I366" s="42"/>
      <c r="J366" s="38"/>
      <c r="K366" s="38"/>
      <c r="L366" s="1"/>
      <c r="M366" s="1"/>
      <c r="N366" s="1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40"/>
      <c r="AE366" s="40"/>
    </row>
    <row r="367" spans="1:31" x14ac:dyDescent="0.25">
      <c r="A367" s="2"/>
      <c r="B367" s="1"/>
      <c r="C367" s="22">
        <v>307</v>
      </c>
      <c r="D367" s="34">
        <f t="shared" si="24"/>
        <v>3.0700000000000003</v>
      </c>
      <c r="E367" s="30">
        <f t="shared" si="21"/>
        <v>0</v>
      </c>
      <c r="F367" s="31">
        <f t="shared" si="22"/>
        <v>0</v>
      </c>
      <c r="G367" s="32">
        <f t="shared" si="23"/>
        <v>0.19543973941368073</v>
      </c>
      <c r="H367" s="34">
        <f t="shared" si="25"/>
        <v>0.19543973941368073</v>
      </c>
      <c r="I367" s="42"/>
      <c r="J367" s="38"/>
      <c r="K367" s="38"/>
      <c r="L367" s="1"/>
      <c r="M367" s="1"/>
      <c r="N367" s="1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40"/>
      <c r="AE367" s="40"/>
    </row>
    <row r="368" spans="1:31" x14ac:dyDescent="0.25">
      <c r="A368" s="2"/>
      <c r="B368" s="1"/>
      <c r="C368" s="22">
        <v>308</v>
      </c>
      <c r="D368" s="34">
        <f t="shared" si="24"/>
        <v>3.08</v>
      </c>
      <c r="E368" s="30">
        <f t="shared" si="21"/>
        <v>0</v>
      </c>
      <c r="F368" s="31">
        <f t="shared" si="22"/>
        <v>0</v>
      </c>
      <c r="G368" s="32">
        <f t="shared" si="23"/>
        <v>0.19480519480519476</v>
      </c>
      <c r="H368" s="34">
        <f t="shared" si="25"/>
        <v>0.19480519480519476</v>
      </c>
      <c r="I368" s="42"/>
      <c r="J368" s="38"/>
      <c r="K368" s="38"/>
      <c r="L368" s="1"/>
      <c r="M368" s="1"/>
      <c r="N368" s="1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40"/>
      <c r="AE368" s="40"/>
    </row>
    <row r="369" spans="1:31" x14ac:dyDescent="0.25">
      <c r="A369" s="2"/>
      <c r="B369" s="1"/>
      <c r="C369" s="22">
        <v>309</v>
      </c>
      <c r="D369" s="34">
        <f t="shared" si="24"/>
        <v>3.09</v>
      </c>
      <c r="E369" s="30">
        <f t="shared" si="21"/>
        <v>0</v>
      </c>
      <c r="F369" s="31">
        <f t="shared" si="22"/>
        <v>0</v>
      </c>
      <c r="G369" s="32">
        <f t="shared" si="23"/>
        <v>0.19417475728155337</v>
      </c>
      <c r="H369" s="34">
        <f t="shared" si="25"/>
        <v>0.19417475728155337</v>
      </c>
      <c r="I369" s="42"/>
      <c r="J369" s="38"/>
      <c r="K369" s="38"/>
      <c r="L369" s="1"/>
      <c r="M369" s="1"/>
      <c r="N369" s="1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40"/>
      <c r="AE369" s="40"/>
    </row>
    <row r="370" spans="1:31" x14ac:dyDescent="0.25">
      <c r="A370" s="2"/>
      <c r="B370" s="1"/>
      <c r="C370" s="22">
        <v>310</v>
      </c>
      <c r="D370" s="34">
        <f t="shared" si="24"/>
        <v>3.1</v>
      </c>
      <c r="E370" s="30">
        <f t="shared" si="21"/>
        <v>0</v>
      </c>
      <c r="F370" s="31">
        <f t="shared" si="22"/>
        <v>0</v>
      </c>
      <c r="G370" s="32">
        <f t="shared" si="23"/>
        <v>0.19354838709677413</v>
      </c>
      <c r="H370" s="34">
        <f t="shared" si="25"/>
        <v>0.19354838709677413</v>
      </c>
      <c r="I370" s="42"/>
      <c r="J370" s="38"/>
      <c r="K370" s="38"/>
      <c r="L370" s="1"/>
      <c r="M370" s="1"/>
      <c r="N370" s="1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40"/>
      <c r="AE370" s="40"/>
    </row>
    <row r="371" spans="1:31" x14ac:dyDescent="0.25">
      <c r="A371" s="2"/>
      <c r="B371" s="1"/>
      <c r="C371" s="22">
        <v>311</v>
      </c>
      <c r="D371" s="34">
        <f t="shared" si="24"/>
        <v>3.11</v>
      </c>
      <c r="E371" s="30">
        <f t="shared" si="21"/>
        <v>0</v>
      </c>
      <c r="F371" s="31">
        <f t="shared" si="22"/>
        <v>0</v>
      </c>
      <c r="G371" s="32">
        <f t="shared" si="23"/>
        <v>0.19292604501607713</v>
      </c>
      <c r="H371" s="34">
        <f t="shared" si="25"/>
        <v>0.19292604501607713</v>
      </c>
      <c r="I371" s="42"/>
      <c r="J371" s="38"/>
      <c r="K371" s="38"/>
      <c r="L371" s="1"/>
      <c r="M371" s="1"/>
      <c r="N371" s="1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40"/>
      <c r="AE371" s="40"/>
    </row>
    <row r="372" spans="1:31" x14ac:dyDescent="0.25">
      <c r="A372" s="2"/>
      <c r="B372" s="1"/>
      <c r="C372" s="22">
        <v>312</v>
      </c>
      <c r="D372" s="34">
        <f t="shared" si="24"/>
        <v>3.12</v>
      </c>
      <c r="E372" s="30">
        <f t="shared" si="21"/>
        <v>0</v>
      </c>
      <c r="F372" s="31">
        <f t="shared" si="22"/>
        <v>0</v>
      </c>
      <c r="G372" s="32">
        <f t="shared" si="23"/>
        <v>0.19230769230769226</v>
      </c>
      <c r="H372" s="34">
        <f t="shared" si="25"/>
        <v>0.19230769230769226</v>
      </c>
      <c r="I372" s="42"/>
      <c r="J372" s="38"/>
      <c r="K372" s="38"/>
      <c r="L372" s="1"/>
      <c r="M372" s="1"/>
      <c r="N372" s="1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40"/>
      <c r="AE372" s="40"/>
    </row>
    <row r="373" spans="1:31" x14ac:dyDescent="0.25">
      <c r="A373" s="2"/>
      <c r="B373" s="1"/>
      <c r="C373" s="22">
        <v>313</v>
      </c>
      <c r="D373" s="34">
        <f t="shared" si="24"/>
        <v>3.13</v>
      </c>
      <c r="E373" s="30">
        <f t="shared" si="21"/>
        <v>0</v>
      </c>
      <c r="F373" s="31">
        <f t="shared" si="22"/>
        <v>0</v>
      </c>
      <c r="G373" s="32">
        <f t="shared" si="23"/>
        <v>0.19169329073482425</v>
      </c>
      <c r="H373" s="34">
        <f t="shared" si="25"/>
        <v>0.19169329073482425</v>
      </c>
      <c r="I373" s="42"/>
      <c r="J373" s="38"/>
      <c r="K373" s="38"/>
      <c r="L373" s="1"/>
      <c r="M373" s="1"/>
      <c r="N373" s="1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40"/>
      <c r="AE373" s="40"/>
    </row>
    <row r="374" spans="1:31" x14ac:dyDescent="0.25">
      <c r="A374" s="2"/>
      <c r="B374" s="1"/>
      <c r="C374" s="22">
        <v>314</v>
      </c>
      <c r="D374" s="34">
        <f t="shared" si="24"/>
        <v>3.14</v>
      </c>
      <c r="E374" s="30">
        <f t="shared" si="21"/>
        <v>0</v>
      </c>
      <c r="F374" s="31">
        <f t="shared" si="22"/>
        <v>0</v>
      </c>
      <c r="G374" s="32">
        <f t="shared" si="23"/>
        <v>0.19108280254777066</v>
      </c>
      <c r="H374" s="34">
        <f t="shared" si="25"/>
        <v>0.19108280254777066</v>
      </c>
      <c r="I374" s="42"/>
      <c r="J374" s="38"/>
      <c r="K374" s="38"/>
      <c r="L374" s="1"/>
      <c r="M374" s="1"/>
      <c r="N374" s="1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40"/>
      <c r="AE374" s="40"/>
    </row>
    <row r="375" spans="1:31" x14ac:dyDescent="0.25">
      <c r="A375" s="2"/>
      <c r="B375" s="1"/>
      <c r="C375" s="22">
        <v>315</v>
      </c>
      <c r="D375" s="34">
        <f t="shared" si="24"/>
        <v>3.15</v>
      </c>
      <c r="E375" s="30">
        <f t="shared" si="21"/>
        <v>0</v>
      </c>
      <c r="F375" s="31">
        <f t="shared" si="22"/>
        <v>0</v>
      </c>
      <c r="G375" s="32">
        <f t="shared" si="23"/>
        <v>0.19047619047619044</v>
      </c>
      <c r="H375" s="34">
        <f t="shared" si="25"/>
        <v>0.19047619047619044</v>
      </c>
      <c r="I375" s="42"/>
      <c r="J375" s="38"/>
      <c r="K375" s="38"/>
      <c r="L375" s="1"/>
      <c r="M375" s="1"/>
      <c r="N375" s="1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40"/>
      <c r="AE375" s="40"/>
    </row>
    <row r="376" spans="1:31" x14ac:dyDescent="0.25">
      <c r="A376" s="2"/>
      <c r="B376" s="1"/>
      <c r="C376" s="22">
        <v>316</v>
      </c>
      <c r="D376" s="34">
        <f t="shared" si="24"/>
        <v>3.16</v>
      </c>
      <c r="E376" s="30">
        <f t="shared" si="21"/>
        <v>0</v>
      </c>
      <c r="F376" s="31">
        <f t="shared" si="22"/>
        <v>0</v>
      </c>
      <c r="G376" s="32">
        <f t="shared" si="23"/>
        <v>0.18987341772151894</v>
      </c>
      <c r="H376" s="34">
        <f t="shared" si="25"/>
        <v>0.18987341772151894</v>
      </c>
      <c r="I376" s="42"/>
      <c r="J376" s="38"/>
      <c r="K376" s="38"/>
      <c r="L376" s="1"/>
      <c r="M376" s="1"/>
      <c r="N376" s="1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40"/>
      <c r="AE376" s="40"/>
    </row>
    <row r="377" spans="1:31" x14ac:dyDescent="0.25">
      <c r="A377" s="2"/>
      <c r="B377" s="1"/>
      <c r="C377" s="22">
        <v>317</v>
      </c>
      <c r="D377" s="34">
        <f t="shared" si="24"/>
        <v>3.17</v>
      </c>
      <c r="E377" s="30">
        <f t="shared" si="21"/>
        <v>0</v>
      </c>
      <c r="F377" s="31">
        <f t="shared" si="22"/>
        <v>0</v>
      </c>
      <c r="G377" s="32">
        <f t="shared" si="23"/>
        <v>0.18927444794952678</v>
      </c>
      <c r="H377" s="34">
        <f t="shared" si="25"/>
        <v>0.18927444794952678</v>
      </c>
      <c r="I377" s="42"/>
      <c r="J377" s="38"/>
      <c r="K377" s="38"/>
      <c r="L377" s="1"/>
      <c r="M377" s="1"/>
      <c r="N377" s="1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40"/>
      <c r="AE377" s="40"/>
    </row>
    <row r="378" spans="1:31" x14ac:dyDescent="0.25">
      <c r="A378" s="2"/>
      <c r="B378" s="1"/>
      <c r="C378" s="22">
        <v>318</v>
      </c>
      <c r="D378" s="34">
        <f t="shared" si="24"/>
        <v>3.18</v>
      </c>
      <c r="E378" s="30">
        <f t="shared" si="21"/>
        <v>0</v>
      </c>
      <c r="F378" s="31">
        <f t="shared" si="22"/>
        <v>0</v>
      </c>
      <c r="G378" s="32">
        <f t="shared" si="23"/>
        <v>0.18867924528301883</v>
      </c>
      <c r="H378" s="34">
        <f t="shared" si="25"/>
        <v>0.18867924528301883</v>
      </c>
      <c r="I378" s="42"/>
      <c r="J378" s="38"/>
      <c r="K378" s="38"/>
      <c r="L378" s="1"/>
      <c r="M378" s="1"/>
      <c r="N378" s="1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40"/>
      <c r="AE378" s="40"/>
    </row>
    <row r="379" spans="1:31" x14ac:dyDescent="0.25">
      <c r="A379" s="2"/>
      <c r="B379" s="1"/>
      <c r="C379" s="22">
        <v>319</v>
      </c>
      <c r="D379" s="34">
        <f t="shared" si="24"/>
        <v>3.19</v>
      </c>
      <c r="E379" s="30">
        <f t="shared" si="21"/>
        <v>0</v>
      </c>
      <c r="F379" s="31">
        <f t="shared" si="22"/>
        <v>0</v>
      </c>
      <c r="G379" s="32">
        <f t="shared" si="23"/>
        <v>0.1880877742946708</v>
      </c>
      <c r="H379" s="34">
        <f t="shared" si="25"/>
        <v>0.1880877742946708</v>
      </c>
      <c r="I379" s="42"/>
      <c r="J379" s="38"/>
      <c r="K379" s="38"/>
      <c r="L379" s="1"/>
      <c r="M379" s="1"/>
      <c r="N379" s="1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40"/>
      <c r="AE379" s="40"/>
    </row>
    <row r="380" spans="1:31" x14ac:dyDescent="0.25">
      <c r="A380" s="2"/>
      <c r="B380" s="1"/>
      <c r="C380" s="22">
        <v>320</v>
      </c>
      <c r="D380" s="34">
        <f t="shared" si="24"/>
        <v>3.2</v>
      </c>
      <c r="E380" s="30">
        <f t="shared" ref="E380:E443" si="26">IF(D380&lt;$C$25,0.4+5*D380,0)</f>
        <v>0</v>
      </c>
      <c r="F380" s="31">
        <f t="shared" ref="F380:F443" si="27">IF(AND(D380&gt;=$C$25,D380&lt;=$C$26),$C$12,0)</f>
        <v>0</v>
      </c>
      <c r="G380" s="32">
        <f t="shared" ref="G380:G443" si="28">IF(D380&gt;$C$26,$C$13/D380,0)</f>
        <v>0.18749999999999994</v>
      </c>
      <c r="H380" s="34">
        <f t="shared" si="25"/>
        <v>0.18749999999999994</v>
      </c>
      <c r="I380" s="42"/>
      <c r="J380" s="38"/>
      <c r="K380" s="38"/>
      <c r="L380" s="1"/>
      <c r="M380" s="1"/>
      <c r="N380" s="1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40"/>
      <c r="AE380" s="40"/>
    </row>
    <row r="381" spans="1:31" x14ac:dyDescent="0.25">
      <c r="A381" s="2"/>
      <c r="B381" s="1"/>
      <c r="C381" s="22">
        <v>321</v>
      </c>
      <c r="D381" s="34">
        <f t="shared" ref="D381:D444" si="29">$D$55*C381</f>
        <v>3.21</v>
      </c>
      <c r="E381" s="30">
        <f t="shared" si="26"/>
        <v>0</v>
      </c>
      <c r="F381" s="31">
        <f t="shared" si="27"/>
        <v>0</v>
      </c>
      <c r="G381" s="32">
        <f t="shared" si="28"/>
        <v>0.18691588785046725</v>
      </c>
      <c r="H381" s="34">
        <f t="shared" si="25"/>
        <v>0.18691588785046725</v>
      </c>
      <c r="I381" s="42"/>
      <c r="J381" s="38"/>
      <c r="K381" s="38"/>
      <c r="L381" s="1"/>
      <c r="M381" s="1"/>
      <c r="N381" s="1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40"/>
      <c r="AE381" s="40"/>
    </row>
    <row r="382" spans="1:31" x14ac:dyDescent="0.25">
      <c r="A382" s="2"/>
      <c r="B382" s="1"/>
      <c r="C382" s="22">
        <v>322</v>
      </c>
      <c r="D382" s="34">
        <f t="shared" si="29"/>
        <v>3.22</v>
      </c>
      <c r="E382" s="30">
        <f t="shared" si="26"/>
        <v>0</v>
      </c>
      <c r="F382" s="31">
        <f t="shared" si="27"/>
        <v>0</v>
      </c>
      <c r="G382" s="32">
        <f t="shared" si="28"/>
        <v>0.18633540372670801</v>
      </c>
      <c r="H382" s="34">
        <f t="shared" si="25"/>
        <v>0.18633540372670801</v>
      </c>
      <c r="I382" s="42"/>
      <c r="J382" s="38"/>
      <c r="K382" s="38"/>
      <c r="L382" s="1"/>
      <c r="M382" s="1"/>
      <c r="N382" s="1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40"/>
      <c r="AE382" s="40"/>
    </row>
    <row r="383" spans="1:31" x14ac:dyDescent="0.25">
      <c r="A383" s="2"/>
      <c r="B383" s="1"/>
      <c r="C383" s="22">
        <v>323</v>
      </c>
      <c r="D383" s="34">
        <f t="shared" si="29"/>
        <v>3.23</v>
      </c>
      <c r="E383" s="30">
        <f t="shared" si="26"/>
        <v>0</v>
      </c>
      <c r="F383" s="31">
        <f t="shared" si="27"/>
        <v>0</v>
      </c>
      <c r="G383" s="32">
        <f t="shared" si="28"/>
        <v>0.1857585139318885</v>
      </c>
      <c r="H383" s="34">
        <f t="shared" si="25"/>
        <v>0.1857585139318885</v>
      </c>
      <c r="I383" s="42"/>
      <c r="J383" s="38"/>
      <c r="K383" s="38"/>
      <c r="L383" s="1"/>
      <c r="M383" s="1"/>
      <c r="N383" s="1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40"/>
      <c r="AE383" s="40"/>
    </row>
    <row r="384" spans="1:31" x14ac:dyDescent="0.25">
      <c r="A384" s="2"/>
      <c r="B384" s="1"/>
      <c r="C384" s="22">
        <v>324</v>
      </c>
      <c r="D384" s="34">
        <f t="shared" si="29"/>
        <v>3.24</v>
      </c>
      <c r="E384" s="30">
        <f t="shared" si="26"/>
        <v>0</v>
      </c>
      <c r="F384" s="31">
        <f t="shared" si="27"/>
        <v>0</v>
      </c>
      <c r="G384" s="32">
        <f t="shared" si="28"/>
        <v>0.18518518518518512</v>
      </c>
      <c r="H384" s="34">
        <f t="shared" si="25"/>
        <v>0.18518518518518512</v>
      </c>
      <c r="I384" s="42"/>
      <c r="J384" s="38"/>
      <c r="K384" s="38"/>
      <c r="L384" s="1"/>
      <c r="M384" s="1"/>
      <c r="N384" s="1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40"/>
      <c r="AE384" s="40"/>
    </row>
    <row r="385" spans="1:31" x14ac:dyDescent="0.25">
      <c r="A385" s="2"/>
      <c r="B385" s="1"/>
      <c r="C385" s="22">
        <v>325</v>
      </c>
      <c r="D385" s="34">
        <f t="shared" si="29"/>
        <v>3.25</v>
      </c>
      <c r="E385" s="30">
        <f t="shared" si="26"/>
        <v>0</v>
      </c>
      <c r="F385" s="31">
        <f t="shared" si="27"/>
        <v>0</v>
      </c>
      <c r="G385" s="32">
        <f t="shared" si="28"/>
        <v>0.18461538461538457</v>
      </c>
      <c r="H385" s="34">
        <f t="shared" si="25"/>
        <v>0.18461538461538457</v>
      </c>
      <c r="I385" s="42"/>
      <c r="J385" s="38"/>
      <c r="K385" s="38"/>
      <c r="L385" s="1"/>
      <c r="M385" s="1"/>
      <c r="N385" s="1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40"/>
      <c r="AE385" s="40"/>
    </row>
    <row r="386" spans="1:31" x14ac:dyDescent="0.25">
      <c r="A386" s="2"/>
      <c r="B386" s="1"/>
      <c r="C386" s="22">
        <v>326</v>
      </c>
      <c r="D386" s="34">
        <f t="shared" si="29"/>
        <v>3.2600000000000002</v>
      </c>
      <c r="E386" s="30">
        <f t="shared" si="26"/>
        <v>0</v>
      </c>
      <c r="F386" s="31">
        <f t="shared" si="27"/>
        <v>0</v>
      </c>
      <c r="G386" s="32">
        <f t="shared" si="28"/>
        <v>0.18404907975460116</v>
      </c>
      <c r="H386" s="34">
        <f t="shared" si="25"/>
        <v>0.18404907975460116</v>
      </c>
      <c r="I386" s="42"/>
      <c r="J386" s="38"/>
      <c r="K386" s="38"/>
      <c r="L386" s="1"/>
      <c r="M386" s="1"/>
      <c r="N386" s="1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40"/>
      <c r="AE386" s="40"/>
    </row>
    <row r="387" spans="1:31" x14ac:dyDescent="0.25">
      <c r="A387" s="2"/>
      <c r="B387" s="1"/>
      <c r="C387" s="22">
        <v>327</v>
      </c>
      <c r="D387" s="34">
        <f t="shared" si="29"/>
        <v>3.27</v>
      </c>
      <c r="E387" s="30">
        <f t="shared" si="26"/>
        <v>0</v>
      </c>
      <c r="F387" s="31">
        <f t="shared" si="27"/>
        <v>0</v>
      </c>
      <c r="G387" s="32">
        <f t="shared" si="28"/>
        <v>0.18348623853211005</v>
      </c>
      <c r="H387" s="34">
        <f t="shared" si="25"/>
        <v>0.18348623853211005</v>
      </c>
      <c r="I387" s="42"/>
      <c r="J387" s="38"/>
      <c r="K387" s="38"/>
      <c r="L387" s="1"/>
      <c r="M387" s="1"/>
      <c r="N387" s="1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40"/>
      <c r="AE387" s="40"/>
    </row>
    <row r="388" spans="1:31" x14ac:dyDescent="0.25">
      <c r="A388" s="2"/>
      <c r="B388" s="1"/>
      <c r="C388" s="22">
        <v>328</v>
      </c>
      <c r="D388" s="34">
        <f t="shared" si="29"/>
        <v>3.2800000000000002</v>
      </c>
      <c r="E388" s="30">
        <f t="shared" si="26"/>
        <v>0</v>
      </c>
      <c r="F388" s="31">
        <f t="shared" si="27"/>
        <v>0</v>
      </c>
      <c r="G388" s="32">
        <f t="shared" si="28"/>
        <v>0.18292682926829262</v>
      </c>
      <c r="H388" s="34">
        <f t="shared" si="25"/>
        <v>0.18292682926829262</v>
      </c>
      <c r="I388" s="42"/>
      <c r="J388" s="38"/>
      <c r="K388" s="38"/>
      <c r="L388" s="1"/>
      <c r="M388" s="1"/>
      <c r="N388" s="1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40"/>
      <c r="AE388" s="40"/>
    </row>
    <row r="389" spans="1:31" x14ac:dyDescent="0.25">
      <c r="A389" s="2"/>
      <c r="B389" s="1"/>
      <c r="C389" s="22">
        <v>329</v>
      </c>
      <c r="D389" s="34">
        <f t="shared" si="29"/>
        <v>3.29</v>
      </c>
      <c r="E389" s="30">
        <f t="shared" si="26"/>
        <v>0</v>
      </c>
      <c r="F389" s="31">
        <f t="shared" si="27"/>
        <v>0</v>
      </c>
      <c r="G389" s="32">
        <f t="shared" si="28"/>
        <v>0.18237082066869298</v>
      </c>
      <c r="H389" s="34">
        <f t="shared" si="25"/>
        <v>0.18237082066869298</v>
      </c>
      <c r="I389" s="42"/>
      <c r="J389" s="38"/>
      <c r="K389" s="38"/>
      <c r="L389" s="1"/>
      <c r="M389" s="1"/>
      <c r="N389" s="1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40"/>
      <c r="AE389" s="40"/>
    </row>
    <row r="390" spans="1:31" x14ac:dyDescent="0.25">
      <c r="A390" s="2"/>
      <c r="B390" s="1"/>
      <c r="C390" s="22">
        <v>330</v>
      </c>
      <c r="D390" s="34">
        <f t="shared" si="29"/>
        <v>3.3000000000000003</v>
      </c>
      <c r="E390" s="30">
        <f t="shared" si="26"/>
        <v>0</v>
      </c>
      <c r="F390" s="31">
        <f t="shared" si="27"/>
        <v>0</v>
      </c>
      <c r="G390" s="32">
        <f t="shared" si="28"/>
        <v>0.18181818181818177</v>
      </c>
      <c r="H390" s="34">
        <f t="shared" si="25"/>
        <v>0.18181818181818177</v>
      </c>
      <c r="I390" s="42"/>
      <c r="J390" s="38"/>
      <c r="K390" s="38"/>
      <c r="L390" s="1"/>
      <c r="M390" s="1"/>
      <c r="N390" s="1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40"/>
      <c r="AE390" s="40"/>
    </row>
    <row r="391" spans="1:31" x14ac:dyDescent="0.25">
      <c r="A391" s="2"/>
      <c r="B391" s="1"/>
      <c r="C391" s="22">
        <v>331</v>
      </c>
      <c r="D391" s="34">
        <f t="shared" si="29"/>
        <v>3.31</v>
      </c>
      <c r="E391" s="30">
        <f t="shared" si="26"/>
        <v>0</v>
      </c>
      <c r="F391" s="31">
        <f t="shared" si="27"/>
        <v>0</v>
      </c>
      <c r="G391" s="32">
        <f t="shared" si="28"/>
        <v>0.18126888217522655</v>
      </c>
      <c r="H391" s="34">
        <f t="shared" si="25"/>
        <v>0.18126888217522655</v>
      </c>
      <c r="I391" s="42"/>
      <c r="J391" s="38"/>
      <c r="K391" s="38"/>
      <c r="L391" s="1"/>
      <c r="M391" s="1"/>
      <c r="N391" s="1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40"/>
      <c r="AE391" s="40"/>
    </row>
    <row r="392" spans="1:31" x14ac:dyDescent="0.25">
      <c r="A392" s="2"/>
      <c r="B392" s="1"/>
      <c r="C392" s="22">
        <v>332</v>
      </c>
      <c r="D392" s="34">
        <f t="shared" si="29"/>
        <v>3.3200000000000003</v>
      </c>
      <c r="E392" s="30">
        <f t="shared" si="26"/>
        <v>0</v>
      </c>
      <c r="F392" s="31">
        <f t="shared" si="27"/>
        <v>0</v>
      </c>
      <c r="G392" s="32">
        <f t="shared" si="28"/>
        <v>0.180722891566265</v>
      </c>
      <c r="H392" s="34">
        <f t="shared" si="25"/>
        <v>0.180722891566265</v>
      </c>
      <c r="I392" s="42"/>
      <c r="J392" s="38"/>
      <c r="K392" s="38"/>
      <c r="L392" s="1"/>
      <c r="M392" s="1"/>
      <c r="N392" s="1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40"/>
      <c r="AE392" s="40"/>
    </row>
    <row r="393" spans="1:31" x14ac:dyDescent="0.25">
      <c r="A393" s="2"/>
      <c r="B393" s="1"/>
      <c r="C393" s="22">
        <v>333</v>
      </c>
      <c r="D393" s="34">
        <f t="shared" si="29"/>
        <v>3.33</v>
      </c>
      <c r="E393" s="30">
        <f t="shared" si="26"/>
        <v>0</v>
      </c>
      <c r="F393" s="31">
        <f t="shared" si="27"/>
        <v>0</v>
      </c>
      <c r="G393" s="32">
        <f t="shared" si="28"/>
        <v>0.18018018018018014</v>
      </c>
      <c r="H393" s="34">
        <f t="shared" si="25"/>
        <v>0.18018018018018014</v>
      </c>
      <c r="I393" s="42"/>
      <c r="J393" s="38"/>
      <c r="K393" s="38"/>
      <c r="L393" s="1"/>
      <c r="M393" s="1"/>
      <c r="N393" s="1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40"/>
      <c r="AE393" s="40"/>
    </row>
    <row r="394" spans="1:31" x14ac:dyDescent="0.25">
      <c r="A394" s="2"/>
      <c r="B394" s="1"/>
      <c r="C394" s="22">
        <v>334</v>
      </c>
      <c r="D394" s="34">
        <f t="shared" si="29"/>
        <v>3.34</v>
      </c>
      <c r="E394" s="30">
        <f t="shared" si="26"/>
        <v>0</v>
      </c>
      <c r="F394" s="31">
        <f t="shared" si="27"/>
        <v>0</v>
      </c>
      <c r="G394" s="32">
        <f t="shared" si="28"/>
        <v>0.17964071856287422</v>
      </c>
      <c r="H394" s="34">
        <f t="shared" si="25"/>
        <v>0.17964071856287422</v>
      </c>
      <c r="I394" s="42"/>
      <c r="J394" s="38"/>
      <c r="K394" s="38"/>
      <c r="L394" s="1"/>
      <c r="M394" s="1"/>
      <c r="N394" s="1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40"/>
      <c r="AE394" s="40"/>
    </row>
    <row r="395" spans="1:31" x14ac:dyDescent="0.25">
      <c r="A395" s="2"/>
      <c r="B395" s="1"/>
      <c r="C395" s="22">
        <v>335</v>
      </c>
      <c r="D395" s="34">
        <f t="shared" si="29"/>
        <v>3.35</v>
      </c>
      <c r="E395" s="30">
        <f t="shared" si="26"/>
        <v>0</v>
      </c>
      <c r="F395" s="31">
        <f t="shared" si="27"/>
        <v>0</v>
      </c>
      <c r="G395" s="32">
        <f t="shared" si="28"/>
        <v>0.17910447761194026</v>
      </c>
      <c r="H395" s="34">
        <f t="shared" si="25"/>
        <v>0.17910447761194026</v>
      </c>
      <c r="I395" s="42"/>
      <c r="J395" s="38"/>
      <c r="K395" s="38"/>
      <c r="L395" s="1"/>
      <c r="M395" s="1"/>
      <c r="N395" s="1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40"/>
      <c r="AE395" s="40"/>
    </row>
    <row r="396" spans="1:31" x14ac:dyDescent="0.25">
      <c r="A396" s="2"/>
      <c r="B396" s="1"/>
      <c r="C396" s="22">
        <v>336</v>
      </c>
      <c r="D396" s="34">
        <f t="shared" si="29"/>
        <v>3.36</v>
      </c>
      <c r="E396" s="30">
        <f t="shared" si="26"/>
        <v>0</v>
      </c>
      <c r="F396" s="31">
        <f t="shared" si="27"/>
        <v>0</v>
      </c>
      <c r="G396" s="32">
        <f t="shared" si="28"/>
        <v>0.17857142857142855</v>
      </c>
      <c r="H396" s="34">
        <f t="shared" si="25"/>
        <v>0.17857142857142855</v>
      </c>
      <c r="I396" s="42"/>
      <c r="J396" s="38"/>
      <c r="K396" s="38"/>
      <c r="L396" s="1"/>
      <c r="M396" s="1"/>
      <c r="N396" s="1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40"/>
      <c r="AE396" s="40"/>
    </row>
    <row r="397" spans="1:31" x14ac:dyDescent="0.25">
      <c r="A397" s="2"/>
      <c r="B397" s="1"/>
      <c r="C397" s="22">
        <v>337</v>
      </c>
      <c r="D397" s="34">
        <f t="shared" si="29"/>
        <v>3.37</v>
      </c>
      <c r="E397" s="30">
        <f t="shared" si="26"/>
        <v>0</v>
      </c>
      <c r="F397" s="31">
        <f t="shared" si="27"/>
        <v>0</v>
      </c>
      <c r="G397" s="32">
        <f t="shared" si="28"/>
        <v>0.17804154302670619</v>
      </c>
      <c r="H397" s="34">
        <f t="shared" si="25"/>
        <v>0.17804154302670619</v>
      </c>
      <c r="I397" s="42"/>
      <c r="J397" s="38"/>
      <c r="K397" s="38"/>
      <c r="L397" s="1"/>
      <c r="M397" s="1"/>
      <c r="N397" s="1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40"/>
      <c r="AE397" s="40"/>
    </row>
    <row r="398" spans="1:31" x14ac:dyDescent="0.25">
      <c r="A398" s="2"/>
      <c r="B398" s="1"/>
      <c r="C398" s="22">
        <v>338</v>
      </c>
      <c r="D398" s="34">
        <f t="shared" si="29"/>
        <v>3.38</v>
      </c>
      <c r="E398" s="30">
        <f t="shared" si="26"/>
        <v>0</v>
      </c>
      <c r="F398" s="31">
        <f t="shared" si="27"/>
        <v>0</v>
      </c>
      <c r="G398" s="32">
        <f t="shared" si="28"/>
        <v>0.17751479289940825</v>
      </c>
      <c r="H398" s="34">
        <f t="shared" si="25"/>
        <v>0.17751479289940825</v>
      </c>
      <c r="I398" s="42"/>
      <c r="J398" s="38"/>
      <c r="K398" s="38"/>
      <c r="L398" s="1"/>
      <c r="M398" s="1"/>
      <c r="N398" s="1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40"/>
      <c r="AE398" s="40"/>
    </row>
    <row r="399" spans="1:31" x14ac:dyDescent="0.25">
      <c r="A399" s="2"/>
      <c r="B399" s="1"/>
      <c r="C399" s="22">
        <v>339</v>
      </c>
      <c r="D399" s="34">
        <f t="shared" si="29"/>
        <v>3.39</v>
      </c>
      <c r="E399" s="30">
        <f t="shared" si="26"/>
        <v>0</v>
      </c>
      <c r="F399" s="31">
        <f t="shared" si="27"/>
        <v>0</v>
      </c>
      <c r="G399" s="32">
        <f t="shared" si="28"/>
        <v>0.17699115044247782</v>
      </c>
      <c r="H399" s="34">
        <f t="shared" si="25"/>
        <v>0.17699115044247782</v>
      </c>
      <c r="I399" s="42"/>
      <c r="J399" s="38"/>
      <c r="K399" s="38"/>
      <c r="L399" s="1"/>
      <c r="M399" s="1"/>
      <c r="N399" s="1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40"/>
      <c r="AE399" s="40"/>
    </row>
    <row r="400" spans="1:31" x14ac:dyDescent="0.25">
      <c r="A400" s="2"/>
      <c r="B400" s="1"/>
      <c r="C400" s="22">
        <v>340</v>
      </c>
      <c r="D400" s="34">
        <f t="shared" si="29"/>
        <v>3.4</v>
      </c>
      <c r="E400" s="30">
        <f t="shared" si="26"/>
        <v>0</v>
      </c>
      <c r="F400" s="31">
        <f t="shared" si="27"/>
        <v>0</v>
      </c>
      <c r="G400" s="32">
        <f t="shared" si="28"/>
        <v>0.17647058823529407</v>
      </c>
      <c r="H400" s="34">
        <f t="shared" si="25"/>
        <v>0.17647058823529407</v>
      </c>
      <c r="I400" s="42"/>
      <c r="J400" s="38"/>
      <c r="K400" s="38"/>
      <c r="L400" s="1"/>
      <c r="M400" s="1"/>
      <c r="N400" s="1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40"/>
      <c r="AE400" s="40"/>
    </row>
    <row r="401" spans="1:31" x14ac:dyDescent="0.25">
      <c r="A401" s="2"/>
      <c r="B401" s="1"/>
      <c r="C401" s="22">
        <v>341</v>
      </c>
      <c r="D401" s="34">
        <f t="shared" si="29"/>
        <v>3.41</v>
      </c>
      <c r="E401" s="30">
        <f t="shared" si="26"/>
        <v>0</v>
      </c>
      <c r="F401" s="31">
        <f t="shared" si="27"/>
        <v>0</v>
      </c>
      <c r="G401" s="32">
        <f t="shared" si="28"/>
        <v>0.17595307917888559</v>
      </c>
      <c r="H401" s="34">
        <f t="shared" si="25"/>
        <v>0.17595307917888559</v>
      </c>
      <c r="I401" s="42"/>
      <c r="J401" s="38"/>
      <c r="K401" s="38"/>
      <c r="L401" s="1"/>
      <c r="M401" s="1"/>
      <c r="N401" s="1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40"/>
      <c r="AE401" s="40"/>
    </row>
    <row r="402" spans="1:31" x14ac:dyDescent="0.25">
      <c r="A402" s="2"/>
      <c r="B402" s="1"/>
      <c r="C402" s="22">
        <v>342</v>
      </c>
      <c r="D402" s="34">
        <f t="shared" si="29"/>
        <v>3.42</v>
      </c>
      <c r="E402" s="30">
        <f t="shared" si="26"/>
        <v>0</v>
      </c>
      <c r="F402" s="31">
        <f t="shared" si="27"/>
        <v>0</v>
      </c>
      <c r="G402" s="32">
        <f t="shared" si="28"/>
        <v>0.17543859649122803</v>
      </c>
      <c r="H402" s="34">
        <f t="shared" si="25"/>
        <v>0.17543859649122803</v>
      </c>
      <c r="I402" s="42"/>
      <c r="J402" s="38"/>
      <c r="K402" s="38"/>
      <c r="L402" s="1"/>
      <c r="M402" s="1"/>
      <c r="N402" s="1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40"/>
      <c r="AE402" s="40"/>
    </row>
    <row r="403" spans="1:31" x14ac:dyDescent="0.25">
      <c r="A403" s="2"/>
      <c r="B403" s="1"/>
      <c r="C403" s="22">
        <v>343</v>
      </c>
      <c r="D403" s="34">
        <f t="shared" si="29"/>
        <v>3.43</v>
      </c>
      <c r="E403" s="30">
        <f t="shared" si="26"/>
        <v>0</v>
      </c>
      <c r="F403" s="31">
        <f t="shared" si="27"/>
        <v>0</v>
      </c>
      <c r="G403" s="32">
        <f t="shared" si="28"/>
        <v>0.17492711370262387</v>
      </c>
      <c r="H403" s="34">
        <f t="shared" si="25"/>
        <v>0.17492711370262387</v>
      </c>
      <c r="I403" s="42"/>
      <c r="J403" s="38"/>
      <c r="K403" s="38"/>
      <c r="L403" s="1"/>
      <c r="M403" s="1"/>
      <c r="N403" s="1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40"/>
      <c r="AE403" s="40"/>
    </row>
    <row r="404" spans="1:31" x14ac:dyDescent="0.25">
      <c r="A404" s="2"/>
      <c r="B404" s="1"/>
      <c r="C404" s="22">
        <v>344</v>
      </c>
      <c r="D404" s="34">
        <f t="shared" si="29"/>
        <v>3.44</v>
      </c>
      <c r="E404" s="30">
        <f t="shared" si="26"/>
        <v>0</v>
      </c>
      <c r="F404" s="31">
        <f t="shared" si="27"/>
        <v>0</v>
      </c>
      <c r="G404" s="32">
        <f t="shared" si="28"/>
        <v>0.17441860465116277</v>
      </c>
      <c r="H404" s="34">
        <f t="shared" si="25"/>
        <v>0.17441860465116277</v>
      </c>
      <c r="I404" s="42"/>
      <c r="J404" s="38"/>
      <c r="K404" s="38"/>
      <c r="L404" s="1"/>
      <c r="M404" s="1"/>
      <c r="N404" s="1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40"/>
      <c r="AE404" s="40"/>
    </row>
    <row r="405" spans="1:31" x14ac:dyDescent="0.25">
      <c r="A405" s="2"/>
      <c r="B405" s="1"/>
      <c r="C405" s="22">
        <v>345</v>
      </c>
      <c r="D405" s="34">
        <f t="shared" si="29"/>
        <v>3.45</v>
      </c>
      <c r="E405" s="30">
        <f t="shared" si="26"/>
        <v>0</v>
      </c>
      <c r="F405" s="31">
        <f t="shared" si="27"/>
        <v>0</v>
      </c>
      <c r="G405" s="32">
        <f t="shared" si="28"/>
        <v>0.17391304347826081</v>
      </c>
      <c r="H405" s="34">
        <f t="shared" si="25"/>
        <v>0.17391304347826081</v>
      </c>
      <c r="I405" s="42"/>
      <c r="J405" s="38"/>
      <c r="K405" s="38"/>
      <c r="L405" s="1"/>
      <c r="M405" s="1"/>
      <c r="N405" s="1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40"/>
      <c r="AE405" s="40"/>
    </row>
    <row r="406" spans="1:31" x14ac:dyDescent="0.25">
      <c r="A406" s="2"/>
      <c r="B406" s="1"/>
      <c r="C406" s="22">
        <v>346</v>
      </c>
      <c r="D406" s="34">
        <f t="shared" si="29"/>
        <v>3.46</v>
      </c>
      <c r="E406" s="30">
        <f t="shared" si="26"/>
        <v>0</v>
      </c>
      <c r="F406" s="31">
        <f t="shared" si="27"/>
        <v>0</v>
      </c>
      <c r="G406" s="32">
        <f t="shared" si="28"/>
        <v>0.17341040462427743</v>
      </c>
      <c r="H406" s="34">
        <f t="shared" si="25"/>
        <v>0.17341040462427743</v>
      </c>
      <c r="I406" s="42"/>
      <c r="J406" s="38"/>
      <c r="K406" s="38"/>
      <c r="L406" s="1"/>
      <c r="M406" s="1"/>
      <c r="N406" s="1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40"/>
      <c r="AE406" s="40"/>
    </row>
    <row r="407" spans="1:31" x14ac:dyDescent="0.25">
      <c r="A407" s="2"/>
      <c r="B407" s="1"/>
      <c r="C407" s="22">
        <v>347</v>
      </c>
      <c r="D407" s="34">
        <f t="shared" si="29"/>
        <v>3.47</v>
      </c>
      <c r="E407" s="30">
        <f t="shared" si="26"/>
        <v>0</v>
      </c>
      <c r="F407" s="31">
        <f t="shared" si="27"/>
        <v>0</v>
      </c>
      <c r="G407" s="32">
        <f t="shared" si="28"/>
        <v>0.17291066282420745</v>
      </c>
      <c r="H407" s="34">
        <f t="shared" si="25"/>
        <v>0.17291066282420745</v>
      </c>
      <c r="I407" s="42"/>
      <c r="J407" s="38"/>
      <c r="K407" s="38"/>
      <c r="L407" s="1"/>
      <c r="M407" s="1"/>
      <c r="N407" s="1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40"/>
      <c r="AE407" s="40"/>
    </row>
    <row r="408" spans="1:31" x14ac:dyDescent="0.25">
      <c r="A408" s="2"/>
      <c r="B408" s="1"/>
      <c r="C408" s="22">
        <v>348</v>
      </c>
      <c r="D408" s="34">
        <f t="shared" si="29"/>
        <v>3.48</v>
      </c>
      <c r="E408" s="30">
        <f t="shared" si="26"/>
        <v>0</v>
      </c>
      <c r="F408" s="31">
        <f t="shared" si="27"/>
        <v>0</v>
      </c>
      <c r="G408" s="32">
        <f t="shared" si="28"/>
        <v>0.17241379310344823</v>
      </c>
      <c r="H408" s="34">
        <f t="shared" si="25"/>
        <v>0.17241379310344823</v>
      </c>
      <c r="I408" s="42"/>
      <c r="J408" s="38"/>
      <c r="K408" s="38"/>
      <c r="L408" s="1"/>
      <c r="M408" s="1"/>
      <c r="N408" s="1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40"/>
      <c r="AE408" s="40"/>
    </row>
    <row r="409" spans="1:31" x14ac:dyDescent="0.25">
      <c r="A409" s="2"/>
      <c r="B409" s="1"/>
      <c r="C409" s="22">
        <v>349</v>
      </c>
      <c r="D409" s="34">
        <f t="shared" si="29"/>
        <v>3.49</v>
      </c>
      <c r="E409" s="30">
        <f t="shared" si="26"/>
        <v>0</v>
      </c>
      <c r="F409" s="31">
        <f t="shared" si="27"/>
        <v>0</v>
      </c>
      <c r="G409" s="32">
        <f t="shared" si="28"/>
        <v>0.17191977077363893</v>
      </c>
      <c r="H409" s="34">
        <f t="shared" si="25"/>
        <v>0.17191977077363893</v>
      </c>
      <c r="I409" s="42"/>
      <c r="J409" s="38"/>
      <c r="K409" s="38"/>
      <c r="L409" s="1"/>
      <c r="M409" s="1"/>
      <c r="N409" s="1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40"/>
      <c r="AE409" s="40"/>
    </row>
    <row r="410" spans="1:31" x14ac:dyDescent="0.25">
      <c r="A410" s="2"/>
      <c r="B410" s="1"/>
      <c r="C410" s="22">
        <v>350</v>
      </c>
      <c r="D410" s="34">
        <f t="shared" si="29"/>
        <v>3.5</v>
      </c>
      <c r="E410" s="30">
        <f t="shared" si="26"/>
        <v>0</v>
      </c>
      <c r="F410" s="31">
        <f t="shared" si="27"/>
        <v>0</v>
      </c>
      <c r="G410" s="32">
        <f t="shared" si="28"/>
        <v>0.1714285714285714</v>
      </c>
      <c r="H410" s="34">
        <f t="shared" si="25"/>
        <v>0.1714285714285714</v>
      </c>
      <c r="I410" s="42"/>
      <c r="J410" s="38"/>
      <c r="K410" s="38"/>
      <c r="L410" s="1"/>
      <c r="M410" s="1"/>
      <c r="N410" s="1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40"/>
      <c r="AE410" s="40"/>
    </row>
    <row r="411" spans="1:31" x14ac:dyDescent="0.25">
      <c r="A411" s="2"/>
      <c r="B411" s="1"/>
      <c r="C411" s="22">
        <v>351</v>
      </c>
      <c r="D411" s="34">
        <f t="shared" si="29"/>
        <v>3.5100000000000002</v>
      </c>
      <c r="E411" s="30">
        <f t="shared" si="26"/>
        <v>0</v>
      </c>
      <c r="F411" s="31">
        <f t="shared" si="27"/>
        <v>0</v>
      </c>
      <c r="G411" s="32">
        <f t="shared" si="28"/>
        <v>0.17094017094017089</v>
      </c>
      <c r="H411" s="34">
        <f t="shared" si="25"/>
        <v>0.17094017094017089</v>
      </c>
      <c r="I411" s="42"/>
      <c r="J411" s="38"/>
      <c r="K411" s="38"/>
      <c r="L411" s="1"/>
      <c r="M411" s="1"/>
      <c r="N411" s="1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40"/>
      <c r="AE411" s="40"/>
    </row>
    <row r="412" spans="1:31" x14ac:dyDescent="0.25">
      <c r="A412" s="2"/>
      <c r="B412" s="1"/>
      <c r="C412" s="22">
        <v>352</v>
      </c>
      <c r="D412" s="34">
        <f t="shared" si="29"/>
        <v>3.52</v>
      </c>
      <c r="E412" s="30">
        <f t="shared" si="26"/>
        <v>0</v>
      </c>
      <c r="F412" s="31">
        <f t="shared" si="27"/>
        <v>0</v>
      </c>
      <c r="G412" s="32">
        <f t="shared" si="28"/>
        <v>0.17045454545454541</v>
      </c>
      <c r="H412" s="34">
        <f t="shared" si="25"/>
        <v>0.17045454545454541</v>
      </c>
      <c r="I412" s="42"/>
      <c r="J412" s="38"/>
      <c r="K412" s="38"/>
      <c r="L412" s="1"/>
      <c r="M412" s="1"/>
      <c r="N412" s="1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40"/>
      <c r="AE412" s="40"/>
    </row>
    <row r="413" spans="1:31" x14ac:dyDescent="0.25">
      <c r="A413" s="2"/>
      <c r="B413" s="1"/>
      <c r="C413" s="22">
        <v>353</v>
      </c>
      <c r="D413" s="34">
        <f t="shared" si="29"/>
        <v>3.5300000000000002</v>
      </c>
      <c r="E413" s="30">
        <f t="shared" si="26"/>
        <v>0</v>
      </c>
      <c r="F413" s="31">
        <f t="shared" si="27"/>
        <v>0</v>
      </c>
      <c r="G413" s="32">
        <f t="shared" si="28"/>
        <v>0.16997167138810193</v>
      </c>
      <c r="H413" s="34">
        <f t="shared" si="25"/>
        <v>0.16997167138810193</v>
      </c>
      <c r="I413" s="42"/>
      <c r="J413" s="38"/>
      <c r="K413" s="38"/>
      <c r="L413" s="1"/>
      <c r="M413" s="1"/>
      <c r="N413" s="1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40"/>
      <c r="AE413" s="40"/>
    </row>
    <row r="414" spans="1:31" x14ac:dyDescent="0.25">
      <c r="A414" s="2"/>
      <c r="B414" s="1"/>
      <c r="C414" s="22">
        <v>354</v>
      </c>
      <c r="D414" s="34">
        <f t="shared" si="29"/>
        <v>3.54</v>
      </c>
      <c r="E414" s="30">
        <f t="shared" si="26"/>
        <v>0</v>
      </c>
      <c r="F414" s="31">
        <f t="shared" si="27"/>
        <v>0</v>
      </c>
      <c r="G414" s="32">
        <f t="shared" si="28"/>
        <v>0.16949152542372878</v>
      </c>
      <c r="H414" s="34">
        <f t="shared" si="25"/>
        <v>0.16949152542372878</v>
      </c>
      <c r="I414" s="42"/>
      <c r="J414" s="38"/>
      <c r="K414" s="38"/>
      <c r="L414" s="1"/>
      <c r="M414" s="1"/>
      <c r="N414" s="1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40"/>
      <c r="AE414" s="40"/>
    </row>
    <row r="415" spans="1:31" x14ac:dyDescent="0.25">
      <c r="A415" s="2"/>
      <c r="B415" s="1"/>
      <c r="C415" s="22">
        <v>355</v>
      </c>
      <c r="D415" s="34">
        <f t="shared" si="29"/>
        <v>3.5500000000000003</v>
      </c>
      <c r="E415" s="30">
        <f t="shared" si="26"/>
        <v>0</v>
      </c>
      <c r="F415" s="31">
        <f t="shared" si="27"/>
        <v>0</v>
      </c>
      <c r="G415" s="32">
        <f t="shared" si="28"/>
        <v>0.16901408450704219</v>
      </c>
      <c r="H415" s="34">
        <f t="shared" si="25"/>
        <v>0.16901408450704219</v>
      </c>
      <c r="I415" s="42"/>
      <c r="J415" s="38"/>
      <c r="K415" s="38"/>
      <c r="L415" s="1"/>
      <c r="M415" s="1"/>
      <c r="N415" s="1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40"/>
      <c r="AE415" s="40"/>
    </row>
    <row r="416" spans="1:31" x14ac:dyDescent="0.25">
      <c r="A416" s="2"/>
      <c r="B416" s="1"/>
      <c r="C416" s="22">
        <v>356</v>
      </c>
      <c r="D416" s="34">
        <f t="shared" si="29"/>
        <v>3.56</v>
      </c>
      <c r="E416" s="30">
        <f t="shared" si="26"/>
        <v>0</v>
      </c>
      <c r="F416" s="31">
        <f t="shared" si="27"/>
        <v>0</v>
      </c>
      <c r="G416" s="32">
        <f t="shared" si="28"/>
        <v>0.1685393258426966</v>
      </c>
      <c r="H416" s="34">
        <f t="shared" si="25"/>
        <v>0.1685393258426966</v>
      </c>
      <c r="I416" s="42"/>
      <c r="J416" s="38"/>
      <c r="K416" s="38"/>
      <c r="L416" s="1"/>
      <c r="M416" s="1"/>
      <c r="N416" s="1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40"/>
      <c r="AE416" s="40"/>
    </row>
    <row r="417" spans="1:31" x14ac:dyDescent="0.25">
      <c r="A417" s="2"/>
      <c r="B417" s="1"/>
      <c r="C417" s="22">
        <v>357</v>
      </c>
      <c r="D417" s="34">
        <f t="shared" si="29"/>
        <v>3.5700000000000003</v>
      </c>
      <c r="E417" s="30">
        <f t="shared" si="26"/>
        <v>0</v>
      </c>
      <c r="F417" s="31">
        <f t="shared" si="27"/>
        <v>0</v>
      </c>
      <c r="G417" s="32">
        <f t="shared" si="28"/>
        <v>0.16806722689075626</v>
      </c>
      <c r="H417" s="34">
        <f t="shared" ref="H417:H480" si="30">SUM(E417:G417)</f>
        <v>0.16806722689075626</v>
      </c>
      <c r="I417" s="42"/>
      <c r="J417" s="38"/>
      <c r="K417" s="38"/>
      <c r="L417" s="1"/>
      <c r="M417" s="1"/>
      <c r="N417" s="1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40"/>
      <c r="AE417" s="40"/>
    </row>
    <row r="418" spans="1:31" x14ac:dyDescent="0.25">
      <c r="A418" s="2"/>
      <c r="B418" s="1"/>
      <c r="C418" s="22">
        <v>358</v>
      </c>
      <c r="D418" s="34">
        <f t="shared" si="29"/>
        <v>3.58</v>
      </c>
      <c r="E418" s="30">
        <f t="shared" si="26"/>
        <v>0</v>
      </c>
      <c r="F418" s="31">
        <f t="shared" si="27"/>
        <v>0</v>
      </c>
      <c r="G418" s="32">
        <f t="shared" si="28"/>
        <v>0.16759776536312845</v>
      </c>
      <c r="H418" s="34">
        <f t="shared" si="30"/>
        <v>0.16759776536312845</v>
      </c>
      <c r="I418" s="42"/>
      <c r="J418" s="38"/>
      <c r="K418" s="38"/>
      <c r="L418" s="1"/>
      <c r="M418" s="1"/>
      <c r="N418" s="1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40"/>
      <c r="AE418" s="40"/>
    </row>
    <row r="419" spans="1:31" x14ac:dyDescent="0.25">
      <c r="A419" s="2"/>
      <c r="B419" s="1"/>
      <c r="C419" s="22">
        <v>359</v>
      </c>
      <c r="D419" s="34">
        <f t="shared" si="29"/>
        <v>3.59</v>
      </c>
      <c r="E419" s="30">
        <f t="shared" si="26"/>
        <v>0</v>
      </c>
      <c r="F419" s="31">
        <f t="shared" si="27"/>
        <v>0</v>
      </c>
      <c r="G419" s="32">
        <f t="shared" si="28"/>
        <v>0.16713091922005568</v>
      </c>
      <c r="H419" s="34">
        <f t="shared" si="30"/>
        <v>0.16713091922005568</v>
      </c>
      <c r="I419" s="42"/>
      <c r="J419" s="38"/>
      <c r="K419" s="38"/>
      <c r="L419" s="1"/>
      <c r="M419" s="1"/>
      <c r="N419" s="1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40"/>
      <c r="AE419" s="40"/>
    </row>
    <row r="420" spans="1:31" x14ac:dyDescent="0.25">
      <c r="A420" s="2"/>
      <c r="B420" s="1"/>
      <c r="C420" s="22">
        <v>360</v>
      </c>
      <c r="D420" s="34">
        <f t="shared" si="29"/>
        <v>3.6</v>
      </c>
      <c r="E420" s="30">
        <f t="shared" si="26"/>
        <v>0</v>
      </c>
      <c r="F420" s="31">
        <f t="shared" si="27"/>
        <v>0</v>
      </c>
      <c r="G420" s="32">
        <f t="shared" si="28"/>
        <v>0.16666666666666663</v>
      </c>
      <c r="H420" s="34">
        <f t="shared" si="30"/>
        <v>0.16666666666666663</v>
      </c>
      <c r="I420" s="42"/>
      <c r="J420" s="38"/>
      <c r="K420" s="38"/>
      <c r="L420" s="1"/>
      <c r="M420" s="1"/>
      <c r="N420" s="1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40"/>
      <c r="AE420" s="40"/>
    </row>
    <row r="421" spans="1:31" x14ac:dyDescent="0.25">
      <c r="A421" s="2"/>
      <c r="B421" s="1"/>
      <c r="C421" s="22">
        <v>361</v>
      </c>
      <c r="D421" s="34">
        <f t="shared" si="29"/>
        <v>3.61</v>
      </c>
      <c r="E421" s="30">
        <f t="shared" si="26"/>
        <v>0</v>
      </c>
      <c r="F421" s="31">
        <f t="shared" si="27"/>
        <v>0</v>
      </c>
      <c r="G421" s="32">
        <f t="shared" si="28"/>
        <v>0.16620498614958445</v>
      </c>
      <c r="H421" s="34">
        <f t="shared" si="30"/>
        <v>0.16620498614958445</v>
      </c>
      <c r="I421" s="42"/>
      <c r="J421" s="38"/>
      <c r="K421" s="38"/>
      <c r="L421" s="1"/>
      <c r="M421" s="1"/>
      <c r="N421" s="1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40"/>
      <c r="AE421" s="40"/>
    </row>
    <row r="422" spans="1:31" x14ac:dyDescent="0.25">
      <c r="A422" s="2"/>
      <c r="B422" s="1"/>
      <c r="C422" s="22">
        <v>362</v>
      </c>
      <c r="D422" s="34">
        <f t="shared" si="29"/>
        <v>3.62</v>
      </c>
      <c r="E422" s="30">
        <f t="shared" si="26"/>
        <v>0</v>
      </c>
      <c r="F422" s="31">
        <f t="shared" si="27"/>
        <v>0</v>
      </c>
      <c r="G422" s="32">
        <f t="shared" si="28"/>
        <v>0.16574585635359113</v>
      </c>
      <c r="H422" s="34">
        <f t="shared" si="30"/>
        <v>0.16574585635359113</v>
      </c>
      <c r="I422" s="42"/>
      <c r="J422" s="38"/>
      <c r="K422" s="38"/>
      <c r="L422" s="1"/>
      <c r="M422" s="1"/>
      <c r="N422" s="1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40"/>
      <c r="AE422" s="40"/>
    </row>
    <row r="423" spans="1:31" x14ac:dyDescent="0.25">
      <c r="A423" s="2"/>
      <c r="B423" s="1"/>
      <c r="C423" s="22">
        <v>363</v>
      </c>
      <c r="D423" s="34">
        <f t="shared" si="29"/>
        <v>3.63</v>
      </c>
      <c r="E423" s="30">
        <f t="shared" si="26"/>
        <v>0</v>
      </c>
      <c r="F423" s="31">
        <f t="shared" si="27"/>
        <v>0</v>
      </c>
      <c r="G423" s="32">
        <f t="shared" si="28"/>
        <v>0.16528925619834708</v>
      </c>
      <c r="H423" s="34">
        <f t="shared" si="30"/>
        <v>0.16528925619834708</v>
      </c>
      <c r="I423" s="42"/>
      <c r="J423" s="38"/>
      <c r="K423" s="38"/>
      <c r="L423" s="1"/>
      <c r="M423" s="1"/>
      <c r="N423" s="1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40"/>
      <c r="AE423" s="40"/>
    </row>
    <row r="424" spans="1:31" x14ac:dyDescent="0.25">
      <c r="A424" s="2"/>
      <c r="B424" s="1"/>
      <c r="C424" s="22">
        <v>364</v>
      </c>
      <c r="D424" s="34">
        <f t="shared" si="29"/>
        <v>3.64</v>
      </c>
      <c r="E424" s="30">
        <f t="shared" si="26"/>
        <v>0</v>
      </c>
      <c r="F424" s="31">
        <f t="shared" si="27"/>
        <v>0</v>
      </c>
      <c r="G424" s="32">
        <f t="shared" si="28"/>
        <v>0.1648351648351648</v>
      </c>
      <c r="H424" s="34">
        <f t="shared" si="30"/>
        <v>0.1648351648351648</v>
      </c>
      <c r="I424" s="42"/>
      <c r="J424" s="38"/>
      <c r="K424" s="38"/>
      <c r="L424" s="1"/>
      <c r="M424" s="1"/>
      <c r="N424" s="1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40"/>
      <c r="AE424" s="40"/>
    </row>
    <row r="425" spans="1:31" x14ac:dyDescent="0.25">
      <c r="A425" s="2"/>
      <c r="B425" s="1"/>
      <c r="C425" s="22">
        <v>365</v>
      </c>
      <c r="D425" s="34">
        <f t="shared" si="29"/>
        <v>3.65</v>
      </c>
      <c r="E425" s="30">
        <f t="shared" si="26"/>
        <v>0</v>
      </c>
      <c r="F425" s="31">
        <f t="shared" si="27"/>
        <v>0</v>
      </c>
      <c r="G425" s="32">
        <f t="shared" si="28"/>
        <v>0.16438356164383558</v>
      </c>
      <c r="H425" s="34">
        <f t="shared" si="30"/>
        <v>0.16438356164383558</v>
      </c>
      <c r="I425" s="42"/>
      <c r="J425" s="38"/>
      <c r="K425" s="38"/>
      <c r="L425" s="1"/>
      <c r="M425" s="1"/>
      <c r="N425" s="1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40"/>
      <c r="AE425" s="40"/>
    </row>
    <row r="426" spans="1:31" x14ac:dyDescent="0.25">
      <c r="A426" s="2"/>
      <c r="B426" s="1"/>
      <c r="C426" s="22">
        <v>366</v>
      </c>
      <c r="D426" s="34">
        <f t="shared" si="29"/>
        <v>3.66</v>
      </c>
      <c r="E426" s="30">
        <f t="shared" si="26"/>
        <v>0</v>
      </c>
      <c r="F426" s="31">
        <f t="shared" si="27"/>
        <v>0</v>
      </c>
      <c r="G426" s="32">
        <f t="shared" si="28"/>
        <v>0.16393442622950816</v>
      </c>
      <c r="H426" s="34">
        <f t="shared" si="30"/>
        <v>0.16393442622950816</v>
      </c>
      <c r="I426" s="42"/>
      <c r="J426" s="38"/>
      <c r="K426" s="38"/>
      <c r="L426" s="1"/>
      <c r="M426" s="1"/>
      <c r="N426" s="1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40"/>
      <c r="AE426" s="40"/>
    </row>
    <row r="427" spans="1:31" x14ac:dyDescent="0.25">
      <c r="A427" s="2"/>
      <c r="B427" s="1"/>
      <c r="C427" s="22">
        <v>367</v>
      </c>
      <c r="D427" s="34">
        <f t="shared" si="29"/>
        <v>3.67</v>
      </c>
      <c r="E427" s="30">
        <f t="shared" si="26"/>
        <v>0</v>
      </c>
      <c r="F427" s="31">
        <f t="shared" si="27"/>
        <v>0</v>
      </c>
      <c r="G427" s="32">
        <f t="shared" si="28"/>
        <v>0.1634877384196185</v>
      </c>
      <c r="H427" s="34">
        <f t="shared" si="30"/>
        <v>0.1634877384196185</v>
      </c>
      <c r="I427" s="42"/>
      <c r="J427" s="38"/>
      <c r="K427" s="38"/>
      <c r="L427" s="1"/>
      <c r="M427" s="1"/>
      <c r="N427" s="1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40"/>
      <c r="AE427" s="40"/>
    </row>
    <row r="428" spans="1:31" x14ac:dyDescent="0.25">
      <c r="A428" s="2"/>
      <c r="B428" s="1"/>
      <c r="C428" s="22">
        <v>368</v>
      </c>
      <c r="D428" s="34">
        <f t="shared" si="29"/>
        <v>3.68</v>
      </c>
      <c r="E428" s="30">
        <f t="shared" si="26"/>
        <v>0</v>
      </c>
      <c r="F428" s="31">
        <f t="shared" si="27"/>
        <v>0</v>
      </c>
      <c r="G428" s="32">
        <f t="shared" si="28"/>
        <v>0.16304347826086951</v>
      </c>
      <c r="H428" s="34">
        <f t="shared" si="30"/>
        <v>0.16304347826086951</v>
      </c>
      <c r="I428" s="42"/>
      <c r="J428" s="38"/>
      <c r="K428" s="38"/>
      <c r="L428" s="1"/>
      <c r="M428" s="1"/>
      <c r="N428" s="1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40"/>
      <c r="AE428" s="40"/>
    </row>
    <row r="429" spans="1:31" x14ac:dyDescent="0.25">
      <c r="A429" s="2"/>
      <c r="B429" s="1"/>
      <c r="C429" s="22">
        <v>369</v>
      </c>
      <c r="D429" s="34">
        <f t="shared" si="29"/>
        <v>3.69</v>
      </c>
      <c r="E429" s="30">
        <f t="shared" si="26"/>
        <v>0</v>
      </c>
      <c r="F429" s="31">
        <f t="shared" si="27"/>
        <v>0</v>
      </c>
      <c r="G429" s="32">
        <f t="shared" si="28"/>
        <v>0.16260162601626013</v>
      </c>
      <c r="H429" s="34">
        <f t="shared" si="30"/>
        <v>0.16260162601626013</v>
      </c>
      <c r="I429" s="42"/>
      <c r="J429" s="38"/>
      <c r="K429" s="38"/>
      <c r="L429" s="1"/>
      <c r="M429" s="1"/>
      <c r="N429" s="1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40"/>
      <c r="AE429" s="40"/>
    </row>
    <row r="430" spans="1:31" x14ac:dyDescent="0.25">
      <c r="A430" s="2"/>
      <c r="B430" s="1"/>
      <c r="C430" s="22">
        <v>370</v>
      </c>
      <c r="D430" s="34">
        <f t="shared" si="29"/>
        <v>3.7</v>
      </c>
      <c r="E430" s="30">
        <f t="shared" si="26"/>
        <v>0</v>
      </c>
      <c r="F430" s="31">
        <f t="shared" si="27"/>
        <v>0</v>
      </c>
      <c r="G430" s="32">
        <f t="shared" si="28"/>
        <v>0.16216216216216212</v>
      </c>
      <c r="H430" s="34">
        <f t="shared" si="30"/>
        <v>0.16216216216216212</v>
      </c>
      <c r="I430" s="42"/>
      <c r="J430" s="38"/>
      <c r="K430" s="38"/>
      <c r="L430" s="1"/>
      <c r="M430" s="1"/>
      <c r="N430" s="1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40"/>
      <c r="AE430" s="40"/>
    </row>
    <row r="431" spans="1:31" x14ac:dyDescent="0.25">
      <c r="A431" s="2"/>
      <c r="B431" s="1"/>
      <c r="C431" s="22">
        <v>371</v>
      </c>
      <c r="D431" s="34">
        <f t="shared" si="29"/>
        <v>3.71</v>
      </c>
      <c r="E431" s="30">
        <f t="shared" si="26"/>
        <v>0</v>
      </c>
      <c r="F431" s="31">
        <f t="shared" si="27"/>
        <v>0</v>
      </c>
      <c r="G431" s="32">
        <f t="shared" si="28"/>
        <v>0.1617250673854447</v>
      </c>
      <c r="H431" s="34">
        <f t="shared" si="30"/>
        <v>0.1617250673854447</v>
      </c>
      <c r="I431" s="42"/>
      <c r="J431" s="38"/>
      <c r="K431" s="38"/>
      <c r="L431" s="1"/>
      <c r="M431" s="1"/>
      <c r="N431" s="1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40"/>
      <c r="AE431" s="40"/>
    </row>
    <row r="432" spans="1:31" x14ac:dyDescent="0.25">
      <c r="A432" s="2"/>
      <c r="B432" s="1"/>
      <c r="C432" s="22">
        <v>372</v>
      </c>
      <c r="D432" s="34">
        <f t="shared" si="29"/>
        <v>3.72</v>
      </c>
      <c r="E432" s="30">
        <f t="shared" si="26"/>
        <v>0</v>
      </c>
      <c r="F432" s="31">
        <f t="shared" si="27"/>
        <v>0</v>
      </c>
      <c r="G432" s="32">
        <f t="shared" si="28"/>
        <v>0.16129032258064513</v>
      </c>
      <c r="H432" s="34">
        <f t="shared" si="30"/>
        <v>0.16129032258064513</v>
      </c>
      <c r="I432" s="42"/>
      <c r="J432" s="38"/>
      <c r="K432" s="38"/>
      <c r="L432" s="1"/>
      <c r="M432" s="1"/>
      <c r="N432" s="1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40"/>
      <c r="AE432" s="40"/>
    </row>
    <row r="433" spans="1:31" x14ac:dyDescent="0.25">
      <c r="A433" s="2"/>
      <c r="B433" s="1"/>
      <c r="C433" s="22">
        <v>373</v>
      </c>
      <c r="D433" s="34">
        <f t="shared" si="29"/>
        <v>3.73</v>
      </c>
      <c r="E433" s="30">
        <f t="shared" si="26"/>
        <v>0</v>
      </c>
      <c r="F433" s="31">
        <f t="shared" si="27"/>
        <v>0</v>
      </c>
      <c r="G433" s="32">
        <f t="shared" si="28"/>
        <v>0.16085790884718495</v>
      </c>
      <c r="H433" s="34">
        <f t="shared" si="30"/>
        <v>0.16085790884718495</v>
      </c>
      <c r="I433" s="42"/>
      <c r="J433" s="38"/>
      <c r="K433" s="38"/>
      <c r="L433" s="1"/>
      <c r="M433" s="1"/>
      <c r="N433" s="1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40"/>
      <c r="AE433" s="40"/>
    </row>
    <row r="434" spans="1:31" x14ac:dyDescent="0.25">
      <c r="A434" s="2"/>
      <c r="B434" s="1"/>
      <c r="C434" s="22">
        <v>374</v>
      </c>
      <c r="D434" s="34">
        <f t="shared" si="29"/>
        <v>3.74</v>
      </c>
      <c r="E434" s="30">
        <f t="shared" si="26"/>
        <v>0</v>
      </c>
      <c r="F434" s="31">
        <f t="shared" si="27"/>
        <v>0</v>
      </c>
      <c r="G434" s="32">
        <f t="shared" si="28"/>
        <v>0.16042780748663096</v>
      </c>
      <c r="H434" s="34">
        <f t="shared" si="30"/>
        <v>0.16042780748663096</v>
      </c>
      <c r="I434" s="42"/>
      <c r="J434" s="38"/>
      <c r="K434" s="38"/>
      <c r="L434" s="1"/>
      <c r="M434" s="1"/>
      <c r="N434" s="1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40"/>
      <c r="AE434" s="40"/>
    </row>
    <row r="435" spans="1:31" x14ac:dyDescent="0.25">
      <c r="A435" s="2"/>
      <c r="B435" s="1"/>
      <c r="C435" s="22">
        <v>375</v>
      </c>
      <c r="D435" s="34">
        <f t="shared" si="29"/>
        <v>3.75</v>
      </c>
      <c r="E435" s="30">
        <f t="shared" si="26"/>
        <v>0</v>
      </c>
      <c r="F435" s="31">
        <f t="shared" si="27"/>
        <v>0</v>
      </c>
      <c r="G435" s="32">
        <f t="shared" si="28"/>
        <v>0.15999999999999998</v>
      </c>
      <c r="H435" s="34">
        <f t="shared" si="30"/>
        <v>0.15999999999999998</v>
      </c>
      <c r="I435" s="42"/>
      <c r="J435" s="38"/>
      <c r="K435" s="38"/>
      <c r="L435" s="1"/>
      <c r="M435" s="1"/>
      <c r="N435" s="1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40"/>
      <c r="AE435" s="40"/>
    </row>
    <row r="436" spans="1:31" x14ac:dyDescent="0.25">
      <c r="A436" s="2"/>
      <c r="B436" s="1"/>
      <c r="C436" s="22">
        <v>376</v>
      </c>
      <c r="D436" s="34">
        <f t="shared" si="29"/>
        <v>3.7600000000000002</v>
      </c>
      <c r="E436" s="30">
        <f t="shared" si="26"/>
        <v>0</v>
      </c>
      <c r="F436" s="31">
        <f t="shared" si="27"/>
        <v>0</v>
      </c>
      <c r="G436" s="32">
        <f t="shared" si="28"/>
        <v>0.15957446808510634</v>
      </c>
      <c r="H436" s="34">
        <f t="shared" si="30"/>
        <v>0.15957446808510634</v>
      </c>
      <c r="I436" s="42"/>
      <c r="J436" s="38"/>
      <c r="K436" s="38"/>
      <c r="L436" s="1"/>
      <c r="M436" s="1"/>
      <c r="N436" s="1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40"/>
      <c r="AE436" s="40"/>
    </row>
    <row r="437" spans="1:31" x14ac:dyDescent="0.25">
      <c r="A437" s="2"/>
      <c r="B437" s="1"/>
      <c r="C437" s="22">
        <v>377</v>
      </c>
      <c r="D437" s="34">
        <f t="shared" si="29"/>
        <v>3.77</v>
      </c>
      <c r="E437" s="30">
        <f t="shared" si="26"/>
        <v>0</v>
      </c>
      <c r="F437" s="31">
        <f t="shared" si="27"/>
        <v>0</v>
      </c>
      <c r="G437" s="32">
        <f t="shared" si="28"/>
        <v>0.15915119363395222</v>
      </c>
      <c r="H437" s="34">
        <f t="shared" si="30"/>
        <v>0.15915119363395222</v>
      </c>
      <c r="I437" s="42"/>
      <c r="J437" s="38"/>
      <c r="K437" s="38"/>
      <c r="L437" s="1"/>
      <c r="M437" s="1"/>
      <c r="N437" s="1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40"/>
      <c r="AE437" s="40"/>
    </row>
    <row r="438" spans="1:31" x14ac:dyDescent="0.25">
      <c r="A438" s="2"/>
      <c r="B438" s="1"/>
      <c r="C438" s="22">
        <v>378</v>
      </c>
      <c r="D438" s="34">
        <f t="shared" si="29"/>
        <v>3.7800000000000002</v>
      </c>
      <c r="E438" s="30">
        <f t="shared" si="26"/>
        <v>0</v>
      </c>
      <c r="F438" s="31">
        <f t="shared" si="27"/>
        <v>0</v>
      </c>
      <c r="G438" s="32">
        <f t="shared" si="28"/>
        <v>0.15873015873015869</v>
      </c>
      <c r="H438" s="34">
        <f t="shared" si="30"/>
        <v>0.15873015873015869</v>
      </c>
      <c r="I438" s="42"/>
      <c r="J438" s="38"/>
      <c r="K438" s="38"/>
      <c r="L438" s="1"/>
      <c r="M438" s="1"/>
      <c r="N438" s="1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40"/>
      <c r="AE438" s="40"/>
    </row>
    <row r="439" spans="1:31" x14ac:dyDescent="0.25">
      <c r="A439" s="2"/>
      <c r="B439" s="1"/>
      <c r="C439" s="22">
        <v>379</v>
      </c>
      <c r="D439" s="34">
        <f t="shared" si="29"/>
        <v>3.79</v>
      </c>
      <c r="E439" s="30">
        <f t="shared" si="26"/>
        <v>0</v>
      </c>
      <c r="F439" s="31">
        <f t="shared" si="27"/>
        <v>0</v>
      </c>
      <c r="G439" s="32">
        <f t="shared" si="28"/>
        <v>0.15831134564643795</v>
      </c>
      <c r="H439" s="34">
        <f t="shared" si="30"/>
        <v>0.15831134564643795</v>
      </c>
      <c r="I439" s="42"/>
      <c r="J439" s="38"/>
      <c r="K439" s="38"/>
      <c r="L439" s="1"/>
      <c r="M439" s="1"/>
      <c r="N439" s="1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40"/>
      <c r="AE439" s="40"/>
    </row>
    <row r="440" spans="1:31" x14ac:dyDescent="0.25">
      <c r="A440" s="2"/>
      <c r="B440" s="1"/>
      <c r="C440" s="22">
        <v>380</v>
      </c>
      <c r="D440" s="34">
        <f t="shared" si="29"/>
        <v>3.8000000000000003</v>
      </c>
      <c r="E440" s="30">
        <f t="shared" si="26"/>
        <v>0</v>
      </c>
      <c r="F440" s="31">
        <f t="shared" si="27"/>
        <v>0</v>
      </c>
      <c r="G440" s="32">
        <f t="shared" si="28"/>
        <v>0.15789473684210523</v>
      </c>
      <c r="H440" s="34">
        <f t="shared" si="30"/>
        <v>0.15789473684210523</v>
      </c>
      <c r="I440" s="42"/>
      <c r="J440" s="38"/>
      <c r="K440" s="38"/>
      <c r="L440" s="1"/>
      <c r="M440" s="1"/>
      <c r="N440" s="1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40"/>
      <c r="AE440" s="40"/>
    </row>
    <row r="441" spans="1:31" x14ac:dyDescent="0.25">
      <c r="A441" s="2"/>
      <c r="B441" s="1"/>
      <c r="C441" s="22">
        <v>381</v>
      </c>
      <c r="D441" s="34">
        <f t="shared" si="29"/>
        <v>3.81</v>
      </c>
      <c r="E441" s="30">
        <f t="shared" si="26"/>
        <v>0</v>
      </c>
      <c r="F441" s="31">
        <f t="shared" si="27"/>
        <v>0</v>
      </c>
      <c r="G441" s="32">
        <f t="shared" si="28"/>
        <v>0.15748031496062989</v>
      </c>
      <c r="H441" s="34">
        <f t="shared" si="30"/>
        <v>0.15748031496062989</v>
      </c>
      <c r="I441" s="42"/>
      <c r="J441" s="38"/>
      <c r="K441" s="38"/>
      <c r="L441" s="1"/>
      <c r="M441" s="1"/>
      <c r="N441" s="1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40"/>
      <c r="AE441" s="40"/>
    </row>
    <row r="442" spans="1:31" x14ac:dyDescent="0.25">
      <c r="A442" s="2"/>
      <c r="B442" s="1"/>
      <c r="C442" s="22">
        <v>382</v>
      </c>
      <c r="D442" s="34">
        <f t="shared" si="29"/>
        <v>3.8200000000000003</v>
      </c>
      <c r="E442" s="30">
        <f t="shared" si="26"/>
        <v>0</v>
      </c>
      <c r="F442" s="31">
        <f t="shared" si="27"/>
        <v>0</v>
      </c>
      <c r="G442" s="32">
        <f t="shared" si="28"/>
        <v>0.15706806282722507</v>
      </c>
      <c r="H442" s="34">
        <f t="shared" si="30"/>
        <v>0.15706806282722507</v>
      </c>
      <c r="I442" s="42"/>
      <c r="J442" s="38"/>
      <c r="K442" s="38"/>
      <c r="L442" s="1"/>
      <c r="M442" s="1"/>
      <c r="N442" s="1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40"/>
      <c r="AE442" s="40"/>
    </row>
    <row r="443" spans="1:31" x14ac:dyDescent="0.25">
      <c r="A443" s="2"/>
      <c r="B443" s="1"/>
      <c r="C443" s="22">
        <v>383</v>
      </c>
      <c r="D443" s="34">
        <f t="shared" si="29"/>
        <v>3.83</v>
      </c>
      <c r="E443" s="30">
        <f t="shared" si="26"/>
        <v>0</v>
      </c>
      <c r="F443" s="31">
        <f t="shared" si="27"/>
        <v>0</v>
      </c>
      <c r="G443" s="32">
        <f t="shared" si="28"/>
        <v>0.15665796344647515</v>
      </c>
      <c r="H443" s="34">
        <f t="shared" si="30"/>
        <v>0.15665796344647515</v>
      </c>
      <c r="I443" s="42"/>
      <c r="J443" s="38"/>
      <c r="K443" s="38"/>
      <c r="L443" s="1"/>
      <c r="M443" s="1"/>
      <c r="N443" s="1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40"/>
      <c r="AE443" s="40"/>
    </row>
    <row r="444" spans="1:31" x14ac:dyDescent="0.25">
      <c r="A444" s="2"/>
      <c r="B444" s="1"/>
      <c r="C444" s="22">
        <v>384</v>
      </c>
      <c r="D444" s="34">
        <f t="shared" si="29"/>
        <v>3.84</v>
      </c>
      <c r="E444" s="30">
        <f t="shared" ref="E444:E507" si="31">IF(D444&lt;$C$25,0.4+5*D444,0)</f>
        <v>0</v>
      </c>
      <c r="F444" s="31">
        <f t="shared" ref="F444:F507" si="32">IF(AND(D444&gt;=$C$25,D444&lt;=$C$26),$C$12,0)</f>
        <v>0</v>
      </c>
      <c r="G444" s="32">
        <f t="shared" ref="G444:G507" si="33">IF(D444&gt;$C$26,$C$13/D444,0)</f>
        <v>0.15624999999999997</v>
      </c>
      <c r="H444" s="34">
        <f t="shared" si="30"/>
        <v>0.15624999999999997</v>
      </c>
      <c r="I444" s="42"/>
      <c r="J444" s="38"/>
      <c r="K444" s="38"/>
      <c r="L444" s="1"/>
      <c r="M444" s="1"/>
      <c r="N444" s="1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40"/>
      <c r="AE444" s="40"/>
    </row>
    <row r="445" spans="1:31" x14ac:dyDescent="0.25">
      <c r="A445" s="2"/>
      <c r="B445" s="1"/>
      <c r="C445" s="22">
        <v>385</v>
      </c>
      <c r="D445" s="34">
        <f t="shared" ref="D445:D508" si="34">$D$55*C445</f>
        <v>3.85</v>
      </c>
      <c r="E445" s="30">
        <f t="shared" si="31"/>
        <v>0</v>
      </c>
      <c r="F445" s="31">
        <f t="shared" si="32"/>
        <v>0</v>
      </c>
      <c r="G445" s="32">
        <f t="shared" si="33"/>
        <v>0.15584415584415581</v>
      </c>
      <c r="H445" s="34">
        <f t="shared" si="30"/>
        <v>0.15584415584415581</v>
      </c>
      <c r="I445" s="42"/>
      <c r="J445" s="38"/>
      <c r="K445" s="38"/>
      <c r="L445" s="1"/>
      <c r="M445" s="1"/>
      <c r="N445" s="1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40"/>
      <c r="AE445" s="40"/>
    </row>
    <row r="446" spans="1:31" x14ac:dyDescent="0.25">
      <c r="A446" s="2"/>
      <c r="B446" s="1"/>
      <c r="C446" s="22">
        <v>386</v>
      </c>
      <c r="D446" s="34">
        <f t="shared" si="34"/>
        <v>3.86</v>
      </c>
      <c r="E446" s="30">
        <f t="shared" si="31"/>
        <v>0</v>
      </c>
      <c r="F446" s="31">
        <f t="shared" si="32"/>
        <v>0</v>
      </c>
      <c r="G446" s="32">
        <f t="shared" si="33"/>
        <v>0.15544041450777199</v>
      </c>
      <c r="H446" s="34">
        <f t="shared" si="30"/>
        <v>0.15544041450777199</v>
      </c>
      <c r="I446" s="42"/>
      <c r="J446" s="38"/>
      <c r="K446" s="38"/>
      <c r="L446" s="1"/>
      <c r="M446" s="1"/>
      <c r="N446" s="1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40"/>
      <c r="AE446" s="40"/>
    </row>
    <row r="447" spans="1:31" x14ac:dyDescent="0.25">
      <c r="A447" s="2"/>
      <c r="B447" s="1"/>
      <c r="C447" s="22">
        <v>387</v>
      </c>
      <c r="D447" s="34">
        <f t="shared" si="34"/>
        <v>3.87</v>
      </c>
      <c r="E447" s="30">
        <f t="shared" si="31"/>
        <v>0</v>
      </c>
      <c r="F447" s="31">
        <f t="shared" si="32"/>
        <v>0</v>
      </c>
      <c r="G447" s="32">
        <f t="shared" si="33"/>
        <v>0.15503875968992245</v>
      </c>
      <c r="H447" s="34">
        <f t="shared" si="30"/>
        <v>0.15503875968992245</v>
      </c>
      <c r="I447" s="42"/>
      <c r="J447" s="38"/>
      <c r="K447" s="38"/>
      <c r="L447" s="1"/>
      <c r="M447" s="1"/>
      <c r="N447" s="1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40"/>
      <c r="AE447" s="40"/>
    </row>
    <row r="448" spans="1:31" x14ac:dyDescent="0.25">
      <c r="A448" s="2"/>
      <c r="B448" s="1"/>
      <c r="C448" s="22">
        <v>388</v>
      </c>
      <c r="D448" s="34">
        <f t="shared" si="34"/>
        <v>3.88</v>
      </c>
      <c r="E448" s="30">
        <f t="shared" si="31"/>
        <v>0</v>
      </c>
      <c r="F448" s="31">
        <f t="shared" si="32"/>
        <v>0</v>
      </c>
      <c r="G448" s="32">
        <f t="shared" si="33"/>
        <v>0.15463917525773194</v>
      </c>
      <c r="H448" s="34">
        <f t="shared" si="30"/>
        <v>0.15463917525773194</v>
      </c>
      <c r="I448" s="42"/>
      <c r="J448" s="38"/>
      <c r="K448" s="38"/>
      <c r="L448" s="1"/>
      <c r="M448" s="1"/>
      <c r="N448" s="1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40"/>
      <c r="AE448" s="40"/>
    </row>
    <row r="449" spans="1:31" x14ac:dyDescent="0.25">
      <c r="A449" s="2"/>
      <c r="B449" s="1"/>
      <c r="C449" s="22">
        <v>389</v>
      </c>
      <c r="D449" s="34">
        <f t="shared" si="34"/>
        <v>3.89</v>
      </c>
      <c r="E449" s="30">
        <f t="shared" si="31"/>
        <v>0</v>
      </c>
      <c r="F449" s="31">
        <f t="shared" si="32"/>
        <v>0</v>
      </c>
      <c r="G449" s="32">
        <f t="shared" si="33"/>
        <v>0.15424164524421591</v>
      </c>
      <c r="H449" s="34">
        <f t="shared" si="30"/>
        <v>0.15424164524421591</v>
      </c>
      <c r="I449" s="42"/>
      <c r="J449" s="38"/>
      <c r="K449" s="38"/>
      <c r="L449" s="1"/>
      <c r="M449" s="1"/>
      <c r="N449" s="1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40"/>
      <c r="AE449" s="40"/>
    </row>
    <row r="450" spans="1:31" x14ac:dyDescent="0.25">
      <c r="A450" s="2"/>
      <c r="B450" s="1"/>
      <c r="C450" s="22">
        <v>390</v>
      </c>
      <c r="D450" s="34">
        <f t="shared" si="34"/>
        <v>3.9</v>
      </c>
      <c r="E450" s="30">
        <f t="shared" si="31"/>
        <v>0</v>
      </c>
      <c r="F450" s="31">
        <f t="shared" si="32"/>
        <v>0</v>
      </c>
      <c r="G450" s="32">
        <f t="shared" si="33"/>
        <v>0.15384615384615383</v>
      </c>
      <c r="H450" s="34">
        <f t="shared" si="30"/>
        <v>0.15384615384615383</v>
      </c>
      <c r="I450" s="42"/>
      <c r="J450" s="38"/>
      <c r="K450" s="38"/>
      <c r="L450" s="1"/>
      <c r="M450" s="1"/>
      <c r="N450" s="1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40"/>
      <c r="AE450" s="40"/>
    </row>
    <row r="451" spans="1:31" x14ac:dyDescent="0.25">
      <c r="A451" s="2"/>
      <c r="B451" s="1"/>
      <c r="C451" s="22">
        <v>391</v>
      </c>
      <c r="D451" s="34">
        <f t="shared" si="34"/>
        <v>3.91</v>
      </c>
      <c r="E451" s="30">
        <f t="shared" si="31"/>
        <v>0</v>
      </c>
      <c r="F451" s="31">
        <f t="shared" si="32"/>
        <v>0</v>
      </c>
      <c r="G451" s="32">
        <f t="shared" si="33"/>
        <v>0.15345268542199483</v>
      </c>
      <c r="H451" s="34">
        <f t="shared" si="30"/>
        <v>0.15345268542199483</v>
      </c>
      <c r="I451" s="42"/>
      <c r="J451" s="38"/>
      <c r="K451" s="38"/>
      <c r="L451" s="1"/>
      <c r="M451" s="1"/>
      <c r="N451" s="1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40"/>
      <c r="AE451" s="40"/>
    </row>
    <row r="452" spans="1:31" x14ac:dyDescent="0.25">
      <c r="A452" s="2"/>
      <c r="B452" s="1"/>
      <c r="C452" s="22">
        <v>392</v>
      </c>
      <c r="D452" s="34">
        <f t="shared" si="34"/>
        <v>3.92</v>
      </c>
      <c r="E452" s="30">
        <f t="shared" si="31"/>
        <v>0</v>
      </c>
      <c r="F452" s="31">
        <f t="shared" si="32"/>
        <v>0</v>
      </c>
      <c r="G452" s="32">
        <f t="shared" si="33"/>
        <v>0.15306122448979589</v>
      </c>
      <c r="H452" s="34">
        <f t="shared" si="30"/>
        <v>0.15306122448979589</v>
      </c>
      <c r="I452" s="42"/>
      <c r="J452" s="38"/>
      <c r="K452" s="38"/>
      <c r="L452" s="1"/>
      <c r="M452" s="1"/>
      <c r="N452" s="1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40"/>
      <c r="AE452" s="40"/>
    </row>
    <row r="453" spans="1:31" x14ac:dyDescent="0.25">
      <c r="A453" s="2"/>
      <c r="B453" s="1"/>
      <c r="C453" s="22">
        <v>393</v>
      </c>
      <c r="D453" s="34">
        <f t="shared" si="34"/>
        <v>3.93</v>
      </c>
      <c r="E453" s="30">
        <f t="shared" si="31"/>
        <v>0</v>
      </c>
      <c r="F453" s="31">
        <f t="shared" si="32"/>
        <v>0</v>
      </c>
      <c r="G453" s="32">
        <f t="shared" si="33"/>
        <v>0.15267175572519079</v>
      </c>
      <c r="H453" s="34">
        <f t="shared" si="30"/>
        <v>0.15267175572519079</v>
      </c>
      <c r="I453" s="42"/>
      <c r="J453" s="38"/>
      <c r="K453" s="38"/>
      <c r="L453" s="1"/>
      <c r="M453" s="1"/>
      <c r="N453" s="1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40"/>
      <c r="AE453" s="40"/>
    </row>
    <row r="454" spans="1:31" x14ac:dyDescent="0.25">
      <c r="A454" s="2"/>
      <c r="B454" s="1"/>
      <c r="C454" s="22">
        <v>394</v>
      </c>
      <c r="D454" s="34">
        <f t="shared" si="34"/>
        <v>3.94</v>
      </c>
      <c r="E454" s="30">
        <f t="shared" si="31"/>
        <v>0</v>
      </c>
      <c r="F454" s="31">
        <f t="shared" si="32"/>
        <v>0</v>
      </c>
      <c r="G454" s="32">
        <f t="shared" si="33"/>
        <v>0.15228426395939082</v>
      </c>
      <c r="H454" s="34">
        <f t="shared" si="30"/>
        <v>0.15228426395939082</v>
      </c>
      <c r="I454" s="42"/>
      <c r="J454" s="38"/>
      <c r="K454" s="38"/>
      <c r="L454" s="1"/>
      <c r="M454" s="1"/>
      <c r="N454" s="1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40"/>
      <c r="AE454" s="40"/>
    </row>
    <row r="455" spans="1:31" x14ac:dyDescent="0.25">
      <c r="A455" s="2"/>
      <c r="B455" s="1"/>
      <c r="C455" s="22">
        <v>395</v>
      </c>
      <c r="D455" s="34">
        <f t="shared" si="34"/>
        <v>3.95</v>
      </c>
      <c r="E455" s="30">
        <f t="shared" si="31"/>
        <v>0</v>
      </c>
      <c r="F455" s="31">
        <f t="shared" si="32"/>
        <v>0</v>
      </c>
      <c r="G455" s="32">
        <f t="shared" si="33"/>
        <v>0.15189873417721514</v>
      </c>
      <c r="H455" s="34">
        <f t="shared" si="30"/>
        <v>0.15189873417721514</v>
      </c>
      <c r="I455" s="42"/>
      <c r="J455" s="38"/>
      <c r="K455" s="38"/>
      <c r="L455" s="1"/>
      <c r="M455" s="1"/>
      <c r="N455" s="1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40"/>
      <c r="AE455" s="40"/>
    </row>
    <row r="456" spans="1:31" x14ac:dyDescent="0.25">
      <c r="A456" s="2"/>
      <c r="B456" s="1"/>
      <c r="C456" s="22">
        <v>396</v>
      </c>
      <c r="D456" s="34">
        <f t="shared" si="34"/>
        <v>3.96</v>
      </c>
      <c r="E456" s="30">
        <f t="shared" si="31"/>
        <v>0</v>
      </c>
      <c r="F456" s="31">
        <f t="shared" si="32"/>
        <v>0</v>
      </c>
      <c r="G456" s="32">
        <f t="shared" si="33"/>
        <v>0.15151515151515149</v>
      </c>
      <c r="H456" s="34">
        <f t="shared" si="30"/>
        <v>0.15151515151515149</v>
      </c>
      <c r="I456" s="42"/>
      <c r="J456" s="38"/>
      <c r="K456" s="38"/>
      <c r="L456" s="1"/>
      <c r="M456" s="1"/>
      <c r="N456" s="1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40"/>
      <c r="AE456" s="40"/>
    </row>
    <row r="457" spans="1:31" x14ac:dyDescent="0.25">
      <c r="A457" s="2"/>
      <c r="B457" s="1"/>
      <c r="C457" s="22">
        <v>397</v>
      </c>
      <c r="D457" s="34">
        <f t="shared" si="34"/>
        <v>3.97</v>
      </c>
      <c r="E457" s="30">
        <f t="shared" si="31"/>
        <v>0</v>
      </c>
      <c r="F457" s="31">
        <f t="shared" si="32"/>
        <v>0</v>
      </c>
      <c r="G457" s="32">
        <f t="shared" si="33"/>
        <v>0.1511335012594458</v>
      </c>
      <c r="H457" s="34">
        <f t="shared" si="30"/>
        <v>0.1511335012594458</v>
      </c>
      <c r="I457" s="42"/>
      <c r="J457" s="38"/>
      <c r="K457" s="38"/>
      <c r="L457" s="1"/>
      <c r="M457" s="1"/>
      <c r="N457" s="1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40"/>
      <c r="AE457" s="40"/>
    </row>
    <row r="458" spans="1:31" x14ac:dyDescent="0.25">
      <c r="A458" s="2"/>
      <c r="B458" s="1"/>
      <c r="C458" s="22">
        <v>398</v>
      </c>
      <c r="D458" s="34">
        <f t="shared" si="34"/>
        <v>3.98</v>
      </c>
      <c r="E458" s="30">
        <f t="shared" si="31"/>
        <v>0</v>
      </c>
      <c r="F458" s="31">
        <f t="shared" si="32"/>
        <v>0</v>
      </c>
      <c r="G458" s="32">
        <f t="shared" si="33"/>
        <v>0.15075376884422106</v>
      </c>
      <c r="H458" s="34">
        <f t="shared" si="30"/>
        <v>0.15075376884422106</v>
      </c>
      <c r="I458" s="42"/>
      <c r="J458" s="38"/>
      <c r="K458" s="38"/>
      <c r="L458" s="1"/>
      <c r="M458" s="1"/>
      <c r="N458" s="1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40"/>
      <c r="AE458" s="40"/>
    </row>
    <row r="459" spans="1:31" x14ac:dyDescent="0.25">
      <c r="A459" s="2"/>
      <c r="B459" s="1"/>
      <c r="C459" s="22">
        <v>399</v>
      </c>
      <c r="D459" s="34">
        <f t="shared" si="34"/>
        <v>3.99</v>
      </c>
      <c r="E459" s="30">
        <f t="shared" si="31"/>
        <v>0</v>
      </c>
      <c r="F459" s="31">
        <f t="shared" si="32"/>
        <v>0</v>
      </c>
      <c r="G459" s="32">
        <f t="shared" si="33"/>
        <v>0.15037593984962402</v>
      </c>
      <c r="H459" s="34">
        <f t="shared" si="30"/>
        <v>0.15037593984962402</v>
      </c>
      <c r="I459" s="42"/>
      <c r="J459" s="38"/>
      <c r="K459" s="38"/>
      <c r="L459" s="1"/>
      <c r="M459" s="1"/>
      <c r="N459" s="1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40"/>
      <c r="AE459" s="40"/>
    </row>
    <row r="460" spans="1:31" x14ac:dyDescent="0.25">
      <c r="A460" s="2"/>
      <c r="B460" s="1"/>
      <c r="C460" s="22">
        <v>400</v>
      </c>
      <c r="D460" s="34">
        <f t="shared" si="34"/>
        <v>4</v>
      </c>
      <c r="E460" s="30">
        <f t="shared" si="31"/>
        <v>0</v>
      </c>
      <c r="F460" s="31">
        <f t="shared" si="32"/>
        <v>0</v>
      </c>
      <c r="G460" s="32">
        <f t="shared" si="33"/>
        <v>0.14999999999999997</v>
      </c>
      <c r="H460" s="34">
        <f t="shared" si="30"/>
        <v>0.14999999999999997</v>
      </c>
      <c r="I460" s="42"/>
      <c r="J460" s="38"/>
      <c r="K460" s="38"/>
      <c r="L460" s="1"/>
      <c r="M460" s="1"/>
      <c r="N460" s="1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40"/>
      <c r="AE460" s="40"/>
    </row>
    <row r="461" spans="1:31" x14ac:dyDescent="0.25">
      <c r="A461" s="2"/>
      <c r="B461" s="1"/>
      <c r="C461" s="22">
        <v>401</v>
      </c>
      <c r="D461" s="34">
        <f t="shared" si="34"/>
        <v>4.01</v>
      </c>
      <c r="E461" s="30">
        <f t="shared" si="31"/>
        <v>0</v>
      </c>
      <c r="F461" s="31">
        <f t="shared" si="32"/>
        <v>0</v>
      </c>
      <c r="G461" s="32">
        <f t="shared" si="33"/>
        <v>0.14962593516209474</v>
      </c>
      <c r="H461" s="34">
        <f t="shared" si="30"/>
        <v>0.14962593516209474</v>
      </c>
      <c r="I461" s="42"/>
      <c r="J461" s="38"/>
      <c r="K461" s="38"/>
      <c r="L461" s="1"/>
      <c r="M461" s="1"/>
      <c r="N461" s="1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40"/>
      <c r="AE461" s="40"/>
    </row>
    <row r="462" spans="1:31" x14ac:dyDescent="0.25">
      <c r="A462" s="2"/>
      <c r="B462" s="1"/>
      <c r="C462" s="22">
        <v>402</v>
      </c>
      <c r="D462" s="34">
        <f t="shared" si="34"/>
        <v>4.0200000000000005</v>
      </c>
      <c r="E462" s="30">
        <f t="shared" si="31"/>
        <v>0</v>
      </c>
      <c r="F462" s="31">
        <f t="shared" si="32"/>
        <v>0</v>
      </c>
      <c r="G462" s="32">
        <f t="shared" si="33"/>
        <v>0.14925373134328354</v>
      </c>
      <c r="H462" s="34">
        <f t="shared" si="30"/>
        <v>0.14925373134328354</v>
      </c>
      <c r="I462" s="42"/>
      <c r="J462" s="38"/>
      <c r="K462" s="38"/>
      <c r="L462" s="1"/>
      <c r="M462" s="1"/>
      <c r="N462" s="1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40"/>
      <c r="AE462" s="40"/>
    </row>
    <row r="463" spans="1:31" x14ac:dyDescent="0.25">
      <c r="A463" s="2"/>
      <c r="B463" s="1"/>
      <c r="C463" s="22">
        <v>403</v>
      </c>
      <c r="D463" s="34">
        <f t="shared" si="34"/>
        <v>4.03</v>
      </c>
      <c r="E463" s="30">
        <f t="shared" si="31"/>
        <v>0</v>
      </c>
      <c r="F463" s="31">
        <f t="shared" si="32"/>
        <v>0</v>
      </c>
      <c r="G463" s="32">
        <f t="shared" si="33"/>
        <v>0.14888337468982626</v>
      </c>
      <c r="H463" s="34">
        <f t="shared" si="30"/>
        <v>0.14888337468982626</v>
      </c>
      <c r="I463" s="42"/>
      <c r="J463" s="38"/>
      <c r="K463" s="38"/>
      <c r="L463" s="1"/>
      <c r="M463" s="1"/>
      <c r="N463" s="1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40"/>
      <c r="AE463" s="40"/>
    </row>
    <row r="464" spans="1:31" x14ac:dyDescent="0.25">
      <c r="A464" s="2"/>
      <c r="B464" s="1"/>
      <c r="C464" s="22">
        <v>404</v>
      </c>
      <c r="D464" s="34">
        <f t="shared" si="34"/>
        <v>4.04</v>
      </c>
      <c r="E464" s="30">
        <f t="shared" si="31"/>
        <v>0</v>
      </c>
      <c r="F464" s="31">
        <f t="shared" si="32"/>
        <v>0</v>
      </c>
      <c r="G464" s="32">
        <f t="shared" si="33"/>
        <v>0.14851485148514848</v>
      </c>
      <c r="H464" s="34">
        <f t="shared" si="30"/>
        <v>0.14851485148514848</v>
      </c>
      <c r="I464" s="42"/>
      <c r="J464" s="38"/>
      <c r="K464" s="38"/>
      <c r="L464" s="1"/>
      <c r="M464" s="1"/>
      <c r="N464" s="1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40"/>
      <c r="AE464" s="40"/>
    </row>
    <row r="465" spans="1:31" x14ac:dyDescent="0.25">
      <c r="A465" s="2"/>
      <c r="B465" s="1"/>
      <c r="C465" s="22">
        <v>405</v>
      </c>
      <c r="D465" s="34">
        <f t="shared" si="34"/>
        <v>4.05</v>
      </c>
      <c r="E465" s="30">
        <f t="shared" si="31"/>
        <v>0</v>
      </c>
      <c r="F465" s="31">
        <f t="shared" si="32"/>
        <v>0</v>
      </c>
      <c r="G465" s="32">
        <f t="shared" si="33"/>
        <v>0.14814814814814811</v>
      </c>
      <c r="H465" s="34">
        <f t="shared" si="30"/>
        <v>0.14814814814814811</v>
      </c>
      <c r="I465" s="42"/>
      <c r="J465" s="38"/>
      <c r="K465" s="38"/>
      <c r="L465" s="1"/>
      <c r="M465" s="1"/>
      <c r="N465" s="1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40"/>
      <c r="AE465" s="40"/>
    </row>
    <row r="466" spans="1:31" x14ac:dyDescent="0.25">
      <c r="A466" s="2"/>
      <c r="B466" s="1"/>
      <c r="C466" s="22">
        <v>406</v>
      </c>
      <c r="D466" s="34">
        <f t="shared" si="34"/>
        <v>4.0600000000000005</v>
      </c>
      <c r="E466" s="30">
        <f t="shared" si="31"/>
        <v>0</v>
      </c>
      <c r="F466" s="31">
        <f t="shared" si="32"/>
        <v>0</v>
      </c>
      <c r="G466" s="32">
        <f t="shared" si="33"/>
        <v>0.14778325123152705</v>
      </c>
      <c r="H466" s="34">
        <f t="shared" si="30"/>
        <v>0.14778325123152705</v>
      </c>
      <c r="I466" s="42"/>
      <c r="J466" s="38"/>
      <c r="K466" s="38"/>
      <c r="L466" s="1"/>
      <c r="M466" s="1"/>
      <c r="N466" s="1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40"/>
      <c r="AE466" s="40"/>
    </row>
    <row r="467" spans="1:31" x14ac:dyDescent="0.25">
      <c r="A467" s="2"/>
      <c r="B467" s="1"/>
      <c r="C467" s="22">
        <v>407</v>
      </c>
      <c r="D467" s="34">
        <f t="shared" si="34"/>
        <v>4.07</v>
      </c>
      <c r="E467" s="30">
        <f t="shared" si="31"/>
        <v>0</v>
      </c>
      <c r="F467" s="31">
        <f t="shared" si="32"/>
        <v>0</v>
      </c>
      <c r="G467" s="32">
        <f t="shared" si="33"/>
        <v>0.14742014742014739</v>
      </c>
      <c r="H467" s="34">
        <f t="shared" si="30"/>
        <v>0.14742014742014739</v>
      </c>
      <c r="I467" s="42"/>
      <c r="J467" s="38"/>
      <c r="K467" s="38"/>
      <c r="L467" s="1"/>
      <c r="M467" s="1"/>
      <c r="N467" s="1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40"/>
      <c r="AE467" s="40"/>
    </row>
    <row r="468" spans="1:31" x14ac:dyDescent="0.25">
      <c r="A468" s="2"/>
      <c r="B468" s="1"/>
      <c r="C468" s="22">
        <v>408</v>
      </c>
      <c r="D468" s="34">
        <f t="shared" si="34"/>
        <v>4.08</v>
      </c>
      <c r="E468" s="30">
        <f t="shared" si="31"/>
        <v>0</v>
      </c>
      <c r="F468" s="31">
        <f t="shared" si="32"/>
        <v>0</v>
      </c>
      <c r="G468" s="32">
        <f t="shared" si="33"/>
        <v>0.14705882352941174</v>
      </c>
      <c r="H468" s="34">
        <f t="shared" si="30"/>
        <v>0.14705882352941174</v>
      </c>
      <c r="I468" s="42"/>
      <c r="J468" s="38"/>
      <c r="K468" s="38"/>
      <c r="L468" s="1"/>
      <c r="M468" s="1"/>
      <c r="N468" s="1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40"/>
      <c r="AE468" s="40"/>
    </row>
    <row r="469" spans="1:31" x14ac:dyDescent="0.25">
      <c r="A469" s="2"/>
      <c r="B469" s="1"/>
      <c r="C469" s="22">
        <v>409</v>
      </c>
      <c r="D469" s="34">
        <f t="shared" si="34"/>
        <v>4.09</v>
      </c>
      <c r="E469" s="30">
        <f t="shared" si="31"/>
        <v>0</v>
      </c>
      <c r="F469" s="31">
        <f t="shared" si="32"/>
        <v>0</v>
      </c>
      <c r="G469" s="32">
        <f t="shared" si="33"/>
        <v>0.14669926650366746</v>
      </c>
      <c r="H469" s="34">
        <f t="shared" si="30"/>
        <v>0.14669926650366746</v>
      </c>
      <c r="I469" s="42"/>
      <c r="J469" s="38"/>
      <c r="K469" s="38"/>
      <c r="L469" s="1"/>
      <c r="M469" s="1"/>
      <c r="N469" s="1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40"/>
      <c r="AE469" s="40"/>
    </row>
    <row r="470" spans="1:31" x14ac:dyDescent="0.25">
      <c r="A470" s="2"/>
      <c r="B470" s="1"/>
      <c r="C470" s="22">
        <v>410</v>
      </c>
      <c r="D470" s="34">
        <f t="shared" si="34"/>
        <v>4.0999999999999996</v>
      </c>
      <c r="E470" s="30">
        <f t="shared" si="31"/>
        <v>0</v>
      </c>
      <c r="F470" s="31">
        <f t="shared" si="32"/>
        <v>0</v>
      </c>
      <c r="G470" s="32">
        <f t="shared" si="33"/>
        <v>0.14634146341463414</v>
      </c>
      <c r="H470" s="34">
        <f t="shared" si="30"/>
        <v>0.14634146341463414</v>
      </c>
      <c r="I470" s="42"/>
      <c r="J470" s="38"/>
      <c r="K470" s="38"/>
      <c r="L470" s="1"/>
      <c r="M470" s="1"/>
      <c r="N470" s="1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40"/>
      <c r="AE470" s="40"/>
    </row>
    <row r="471" spans="1:31" x14ac:dyDescent="0.25">
      <c r="A471" s="2"/>
      <c r="B471" s="1"/>
      <c r="C471" s="22">
        <v>411</v>
      </c>
      <c r="D471" s="34">
        <f t="shared" si="34"/>
        <v>4.1100000000000003</v>
      </c>
      <c r="E471" s="30">
        <f t="shared" si="31"/>
        <v>0</v>
      </c>
      <c r="F471" s="31">
        <f t="shared" si="32"/>
        <v>0</v>
      </c>
      <c r="G471" s="32">
        <f t="shared" si="33"/>
        <v>0.14598540145985398</v>
      </c>
      <c r="H471" s="34">
        <f t="shared" si="30"/>
        <v>0.14598540145985398</v>
      </c>
      <c r="I471" s="42"/>
      <c r="J471" s="38"/>
      <c r="K471" s="38"/>
      <c r="L471" s="1"/>
      <c r="M471" s="1"/>
      <c r="N471" s="1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40"/>
      <c r="AE471" s="40"/>
    </row>
    <row r="472" spans="1:31" x14ac:dyDescent="0.25">
      <c r="A472" s="2"/>
      <c r="B472" s="1"/>
      <c r="C472" s="22">
        <v>412</v>
      </c>
      <c r="D472" s="34">
        <f t="shared" si="34"/>
        <v>4.12</v>
      </c>
      <c r="E472" s="30">
        <f t="shared" si="31"/>
        <v>0</v>
      </c>
      <c r="F472" s="31">
        <f t="shared" si="32"/>
        <v>0</v>
      </c>
      <c r="G472" s="32">
        <f t="shared" si="33"/>
        <v>0.14563106796116501</v>
      </c>
      <c r="H472" s="34">
        <f t="shared" si="30"/>
        <v>0.14563106796116501</v>
      </c>
      <c r="I472" s="42"/>
      <c r="J472" s="38"/>
      <c r="K472" s="38"/>
      <c r="L472" s="1"/>
      <c r="M472" s="1"/>
      <c r="N472" s="1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40"/>
      <c r="AE472" s="40"/>
    </row>
    <row r="473" spans="1:31" x14ac:dyDescent="0.25">
      <c r="A473" s="2"/>
      <c r="B473" s="1"/>
      <c r="C473" s="22">
        <v>413</v>
      </c>
      <c r="D473" s="34">
        <f t="shared" si="34"/>
        <v>4.13</v>
      </c>
      <c r="E473" s="30">
        <f t="shared" si="31"/>
        <v>0</v>
      </c>
      <c r="F473" s="31">
        <f t="shared" si="32"/>
        <v>0</v>
      </c>
      <c r="G473" s="32">
        <f t="shared" si="33"/>
        <v>0.14527845036319609</v>
      </c>
      <c r="H473" s="34">
        <f t="shared" si="30"/>
        <v>0.14527845036319609</v>
      </c>
      <c r="I473" s="42"/>
      <c r="J473" s="38"/>
      <c r="K473" s="38"/>
      <c r="L473" s="1"/>
      <c r="M473" s="1"/>
      <c r="N473" s="1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40"/>
      <c r="AE473" s="40"/>
    </row>
    <row r="474" spans="1:31" x14ac:dyDescent="0.25">
      <c r="A474" s="2"/>
      <c r="B474" s="1"/>
      <c r="C474" s="22">
        <v>414</v>
      </c>
      <c r="D474" s="34">
        <f t="shared" si="34"/>
        <v>4.1399999999999997</v>
      </c>
      <c r="E474" s="30">
        <f t="shared" si="31"/>
        <v>0</v>
      </c>
      <c r="F474" s="31">
        <f t="shared" si="32"/>
        <v>0</v>
      </c>
      <c r="G474" s="32">
        <f t="shared" si="33"/>
        <v>0.14492753623188404</v>
      </c>
      <c r="H474" s="34">
        <f t="shared" si="30"/>
        <v>0.14492753623188404</v>
      </c>
      <c r="I474" s="42"/>
      <c r="J474" s="38"/>
      <c r="K474" s="38"/>
      <c r="L474" s="1"/>
      <c r="M474" s="1"/>
      <c r="N474" s="1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40"/>
      <c r="AE474" s="40"/>
    </row>
    <row r="475" spans="1:31" x14ac:dyDescent="0.25">
      <c r="A475" s="2"/>
      <c r="B475" s="1"/>
      <c r="C475" s="22">
        <v>415</v>
      </c>
      <c r="D475" s="34">
        <f t="shared" si="34"/>
        <v>4.1500000000000004</v>
      </c>
      <c r="E475" s="30">
        <f t="shared" si="31"/>
        <v>0</v>
      </c>
      <c r="F475" s="31">
        <f t="shared" si="32"/>
        <v>0</v>
      </c>
      <c r="G475" s="32">
        <f t="shared" si="33"/>
        <v>0.14457831325301201</v>
      </c>
      <c r="H475" s="34">
        <f t="shared" si="30"/>
        <v>0.14457831325301201</v>
      </c>
      <c r="I475" s="42"/>
      <c r="J475" s="38"/>
      <c r="K475" s="38"/>
      <c r="L475" s="1"/>
      <c r="M475" s="1"/>
      <c r="N475" s="1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40"/>
      <c r="AE475" s="40"/>
    </row>
    <row r="476" spans="1:31" x14ac:dyDescent="0.25">
      <c r="A476" s="2"/>
      <c r="B476" s="1"/>
      <c r="C476" s="22">
        <v>416</v>
      </c>
      <c r="D476" s="34">
        <f t="shared" si="34"/>
        <v>4.16</v>
      </c>
      <c r="E476" s="30">
        <f t="shared" si="31"/>
        <v>0</v>
      </c>
      <c r="F476" s="31">
        <f t="shared" si="32"/>
        <v>0</v>
      </c>
      <c r="G476" s="32">
        <f t="shared" si="33"/>
        <v>0.14423076923076919</v>
      </c>
      <c r="H476" s="34">
        <f t="shared" si="30"/>
        <v>0.14423076923076919</v>
      </c>
      <c r="I476" s="42"/>
      <c r="J476" s="38"/>
      <c r="K476" s="38"/>
      <c r="L476" s="1"/>
      <c r="M476" s="1"/>
      <c r="N476" s="1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40"/>
      <c r="AE476" s="40"/>
    </row>
    <row r="477" spans="1:31" x14ac:dyDescent="0.25">
      <c r="A477" s="2"/>
      <c r="B477" s="1"/>
      <c r="C477" s="22">
        <v>417</v>
      </c>
      <c r="D477" s="34">
        <f t="shared" si="34"/>
        <v>4.17</v>
      </c>
      <c r="E477" s="30">
        <f t="shared" si="31"/>
        <v>0</v>
      </c>
      <c r="F477" s="31">
        <f t="shared" si="32"/>
        <v>0</v>
      </c>
      <c r="G477" s="32">
        <f t="shared" si="33"/>
        <v>0.1438848920863309</v>
      </c>
      <c r="H477" s="34">
        <f t="shared" si="30"/>
        <v>0.1438848920863309</v>
      </c>
      <c r="I477" s="42"/>
      <c r="J477" s="38"/>
      <c r="K477" s="38"/>
      <c r="L477" s="1"/>
      <c r="M477" s="1"/>
      <c r="N477" s="1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40"/>
      <c r="AE477" s="40"/>
    </row>
    <row r="478" spans="1:31" x14ac:dyDescent="0.25">
      <c r="A478" s="2"/>
      <c r="B478" s="1"/>
      <c r="C478" s="22">
        <v>418</v>
      </c>
      <c r="D478" s="34">
        <f t="shared" si="34"/>
        <v>4.18</v>
      </c>
      <c r="E478" s="30">
        <f t="shared" si="31"/>
        <v>0</v>
      </c>
      <c r="F478" s="31">
        <f t="shared" si="32"/>
        <v>0</v>
      </c>
      <c r="G478" s="32">
        <f t="shared" si="33"/>
        <v>0.1435406698564593</v>
      </c>
      <c r="H478" s="34">
        <f t="shared" si="30"/>
        <v>0.1435406698564593</v>
      </c>
      <c r="I478" s="42"/>
      <c r="J478" s="38"/>
      <c r="K478" s="38"/>
      <c r="L478" s="1"/>
      <c r="M478" s="1"/>
      <c r="N478" s="1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40"/>
      <c r="AE478" s="40"/>
    </row>
    <row r="479" spans="1:31" x14ac:dyDescent="0.25">
      <c r="A479" s="2"/>
      <c r="B479" s="1"/>
      <c r="C479" s="22">
        <v>419</v>
      </c>
      <c r="D479" s="34">
        <f t="shared" si="34"/>
        <v>4.1900000000000004</v>
      </c>
      <c r="E479" s="30">
        <f t="shared" si="31"/>
        <v>0</v>
      </c>
      <c r="F479" s="31">
        <f t="shared" si="32"/>
        <v>0</v>
      </c>
      <c r="G479" s="32">
        <f t="shared" si="33"/>
        <v>0.14319809069212405</v>
      </c>
      <c r="H479" s="34">
        <f t="shared" si="30"/>
        <v>0.14319809069212405</v>
      </c>
      <c r="I479" s="42"/>
      <c r="J479" s="38"/>
      <c r="K479" s="38"/>
      <c r="L479" s="1"/>
      <c r="M479" s="1"/>
      <c r="N479" s="1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40"/>
      <c r="AE479" s="40"/>
    </row>
    <row r="480" spans="1:31" x14ac:dyDescent="0.25">
      <c r="A480" s="2"/>
      <c r="B480" s="1"/>
      <c r="C480" s="22">
        <v>420</v>
      </c>
      <c r="D480" s="34">
        <f t="shared" si="34"/>
        <v>4.2</v>
      </c>
      <c r="E480" s="30">
        <f t="shared" si="31"/>
        <v>0</v>
      </c>
      <c r="F480" s="31">
        <f t="shared" si="32"/>
        <v>0</v>
      </c>
      <c r="G480" s="32">
        <f t="shared" si="33"/>
        <v>0.14285714285714282</v>
      </c>
      <c r="H480" s="34">
        <f t="shared" si="30"/>
        <v>0.14285714285714282</v>
      </c>
      <c r="I480" s="42"/>
      <c r="J480" s="38"/>
      <c r="K480" s="38"/>
      <c r="L480" s="1"/>
      <c r="M480" s="1"/>
      <c r="N480" s="1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40"/>
      <c r="AE480" s="40"/>
    </row>
    <row r="481" spans="1:31" x14ac:dyDescent="0.25">
      <c r="A481" s="2"/>
      <c r="B481" s="1"/>
      <c r="C481" s="22">
        <v>421</v>
      </c>
      <c r="D481" s="34">
        <f t="shared" si="34"/>
        <v>4.21</v>
      </c>
      <c r="E481" s="30">
        <f t="shared" si="31"/>
        <v>0</v>
      </c>
      <c r="F481" s="31">
        <f t="shared" si="32"/>
        <v>0</v>
      </c>
      <c r="G481" s="32">
        <f t="shared" si="33"/>
        <v>0.14251781472684083</v>
      </c>
      <c r="H481" s="34">
        <f t="shared" ref="H481:H544" si="35">SUM(E481:G481)</f>
        <v>0.14251781472684083</v>
      </c>
      <c r="I481" s="42"/>
      <c r="J481" s="38"/>
      <c r="K481" s="38"/>
      <c r="L481" s="1"/>
      <c r="M481" s="1"/>
      <c r="N481" s="1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40"/>
      <c r="AE481" s="40"/>
    </row>
    <row r="482" spans="1:31" x14ac:dyDescent="0.25">
      <c r="A482" s="2"/>
      <c r="B482" s="1"/>
      <c r="C482" s="22">
        <v>422</v>
      </c>
      <c r="D482" s="34">
        <f t="shared" si="34"/>
        <v>4.22</v>
      </c>
      <c r="E482" s="30">
        <f t="shared" si="31"/>
        <v>0</v>
      </c>
      <c r="F482" s="31">
        <f t="shared" si="32"/>
        <v>0</v>
      </c>
      <c r="G482" s="32">
        <f t="shared" si="33"/>
        <v>0.14218009478672983</v>
      </c>
      <c r="H482" s="34">
        <f t="shared" si="35"/>
        <v>0.14218009478672983</v>
      </c>
      <c r="I482" s="42"/>
      <c r="J482" s="38"/>
      <c r="K482" s="38"/>
      <c r="L482" s="1"/>
      <c r="M482" s="1"/>
      <c r="N482" s="1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40"/>
      <c r="AE482" s="40"/>
    </row>
    <row r="483" spans="1:31" x14ac:dyDescent="0.25">
      <c r="A483" s="2"/>
      <c r="B483" s="1"/>
      <c r="C483" s="22">
        <v>423</v>
      </c>
      <c r="D483" s="34">
        <f t="shared" si="34"/>
        <v>4.2300000000000004</v>
      </c>
      <c r="E483" s="30">
        <f t="shared" si="31"/>
        <v>0</v>
      </c>
      <c r="F483" s="31">
        <f t="shared" si="32"/>
        <v>0</v>
      </c>
      <c r="G483" s="32">
        <f t="shared" si="33"/>
        <v>0.14184397163120563</v>
      </c>
      <c r="H483" s="34">
        <f t="shared" si="35"/>
        <v>0.14184397163120563</v>
      </c>
      <c r="I483" s="42"/>
      <c r="J483" s="38"/>
      <c r="K483" s="38"/>
      <c r="L483" s="1"/>
      <c r="M483" s="1"/>
      <c r="N483" s="1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40"/>
      <c r="AE483" s="40"/>
    </row>
    <row r="484" spans="1:31" x14ac:dyDescent="0.25">
      <c r="A484" s="2"/>
      <c r="B484" s="1"/>
      <c r="C484" s="22">
        <v>424</v>
      </c>
      <c r="D484" s="34">
        <f t="shared" si="34"/>
        <v>4.24</v>
      </c>
      <c r="E484" s="30">
        <f t="shared" si="31"/>
        <v>0</v>
      </c>
      <c r="F484" s="31">
        <f t="shared" si="32"/>
        <v>0</v>
      </c>
      <c r="G484" s="32">
        <f t="shared" si="33"/>
        <v>0.14150943396226412</v>
      </c>
      <c r="H484" s="34">
        <f t="shared" si="35"/>
        <v>0.14150943396226412</v>
      </c>
      <c r="I484" s="42"/>
      <c r="J484" s="38"/>
      <c r="K484" s="38"/>
      <c r="L484" s="1"/>
      <c r="M484" s="1"/>
      <c r="N484" s="1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40"/>
      <c r="AE484" s="40"/>
    </row>
    <row r="485" spans="1:31" x14ac:dyDescent="0.25">
      <c r="A485" s="2"/>
      <c r="B485" s="1"/>
      <c r="C485" s="22">
        <v>425</v>
      </c>
      <c r="D485" s="34">
        <f t="shared" si="34"/>
        <v>4.25</v>
      </c>
      <c r="E485" s="30">
        <f t="shared" si="31"/>
        <v>0</v>
      </c>
      <c r="F485" s="31">
        <f t="shared" si="32"/>
        <v>0</v>
      </c>
      <c r="G485" s="32">
        <f t="shared" si="33"/>
        <v>0.14117647058823526</v>
      </c>
      <c r="H485" s="34">
        <f t="shared" si="35"/>
        <v>0.14117647058823526</v>
      </c>
      <c r="I485" s="42"/>
      <c r="J485" s="38"/>
      <c r="K485" s="38"/>
      <c r="L485" s="1"/>
      <c r="M485" s="1"/>
      <c r="N485" s="1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40"/>
      <c r="AE485" s="40"/>
    </row>
    <row r="486" spans="1:31" x14ac:dyDescent="0.25">
      <c r="A486" s="2"/>
      <c r="B486" s="1"/>
      <c r="C486" s="22">
        <v>426</v>
      </c>
      <c r="D486" s="34">
        <f t="shared" si="34"/>
        <v>4.26</v>
      </c>
      <c r="E486" s="30">
        <f t="shared" si="31"/>
        <v>0</v>
      </c>
      <c r="F486" s="31">
        <f t="shared" si="32"/>
        <v>0</v>
      </c>
      <c r="G486" s="32">
        <f t="shared" si="33"/>
        <v>0.14084507042253519</v>
      </c>
      <c r="H486" s="34">
        <f t="shared" si="35"/>
        <v>0.14084507042253519</v>
      </c>
      <c r="I486" s="42"/>
      <c r="J486" s="38"/>
      <c r="K486" s="38"/>
      <c r="L486" s="1"/>
      <c r="M486" s="1"/>
      <c r="N486" s="1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40"/>
      <c r="AE486" s="40"/>
    </row>
    <row r="487" spans="1:31" x14ac:dyDescent="0.25">
      <c r="A487" s="2"/>
      <c r="B487" s="1"/>
      <c r="C487" s="22">
        <v>427</v>
      </c>
      <c r="D487" s="34">
        <f t="shared" si="34"/>
        <v>4.2700000000000005</v>
      </c>
      <c r="E487" s="30">
        <f t="shared" si="31"/>
        <v>0</v>
      </c>
      <c r="F487" s="31">
        <f t="shared" si="32"/>
        <v>0</v>
      </c>
      <c r="G487" s="32">
        <f t="shared" si="33"/>
        <v>0.14051522248243556</v>
      </c>
      <c r="H487" s="34">
        <f t="shared" si="35"/>
        <v>0.14051522248243556</v>
      </c>
      <c r="I487" s="42"/>
      <c r="J487" s="38"/>
      <c r="K487" s="38"/>
      <c r="L487" s="1"/>
      <c r="M487" s="1"/>
      <c r="N487" s="1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40"/>
      <c r="AE487" s="40"/>
    </row>
    <row r="488" spans="1:31" x14ac:dyDescent="0.25">
      <c r="A488" s="2"/>
      <c r="B488" s="1"/>
      <c r="C488" s="22">
        <v>428</v>
      </c>
      <c r="D488" s="34">
        <f t="shared" si="34"/>
        <v>4.28</v>
      </c>
      <c r="E488" s="30">
        <f t="shared" si="31"/>
        <v>0</v>
      </c>
      <c r="F488" s="31">
        <f t="shared" si="32"/>
        <v>0</v>
      </c>
      <c r="G488" s="32">
        <f t="shared" si="33"/>
        <v>0.14018691588785043</v>
      </c>
      <c r="H488" s="34">
        <f t="shared" si="35"/>
        <v>0.14018691588785043</v>
      </c>
      <c r="I488" s="42"/>
      <c r="J488" s="38"/>
      <c r="K488" s="38"/>
      <c r="L488" s="1"/>
      <c r="M488" s="1"/>
      <c r="N488" s="1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40"/>
      <c r="AE488" s="40"/>
    </row>
    <row r="489" spans="1:31" x14ac:dyDescent="0.25">
      <c r="A489" s="2"/>
      <c r="B489" s="1"/>
      <c r="C489" s="22">
        <v>429</v>
      </c>
      <c r="D489" s="34">
        <f t="shared" si="34"/>
        <v>4.29</v>
      </c>
      <c r="E489" s="30">
        <f t="shared" si="31"/>
        <v>0</v>
      </c>
      <c r="F489" s="31">
        <f t="shared" si="32"/>
        <v>0</v>
      </c>
      <c r="G489" s="32">
        <f t="shared" si="33"/>
        <v>0.13986013986013981</v>
      </c>
      <c r="H489" s="34">
        <f t="shared" si="35"/>
        <v>0.13986013986013981</v>
      </c>
      <c r="I489" s="42"/>
      <c r="J489" s="38"/>
      <c r="K489" s="38"/>
      <c r="L489" s="1"/>
      <c r="M489" s="1"/>
      <c r="N489" s="1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40"/>
      <c r="AE489" s="40"/>
    </row>
    <row r="490" spans="1:31" x14ac:dyDescent="0.25">
      <c r="A490" s="2"/>
      <c r="B490" s="1"/>
      <c r="C490" s="22">
        <v>430</v>
      </c>
      <c r="D490" s="34">
        <f t="shared" si="34"/>
        <v>4.3</v>
      </c>
      <c r="E490" s="30">
        <f t="shared" si="31"/>
        <v>0</v>
      </c>
      <c r="F490" s="31">
        <f t="shared" si="32"/>
        <v>0</v>
      </c>
      <c r="G490" s="32">
        <f t="shared" si="33"/>
        <v>0.1395348837209302</v>
      </c>
      <c r="H490" s="34">
        <f t="shared" si="35"/>
        <v>0.1395348837209302</v>
      </c>
      <c r="I490" s="42"/>
      <c r="J490" s="38"/>
      <c r="K490" s="38"/>
      <c r="L490" s="1"/>
      <c r="M490" s="1"/>
      <c r="N490" s="1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40"/>
      <c r="AE490" s="40"/>
    </row>
    <row r="491" spans="1:31" x14ac:dyDescent="0.25">
      <c r="A491" s="2"/>
      <c r="B491" s="1"/>
      <c r="C491" s="22">
        <v>431</v>
      </c>
      <c r="D491" s="34">
        <f t="shared" si="34"/>
        <v>4.3100000000000005</v>
      </c>
      <c r="E491" s="30">
        <f t="shared" si="31"/>
        <v>0</v>
      </c>
      <c r="F491" s="31">
        <f t="shared" si="32"/>
        <v>0</v>
      </c>
      <c r="G491" s="32">
        <f t="shared" si="33"/>
        <v>0.13921113689095124</v>
      </c>
      <c r="H491" s="34">
        <f t="shared" si="35"/>
        <v>0.13921113689095124</v>
      </c>
      <c r="I491" s="42"/>
      <c r="J491" s="38"/>
      <c r="K491" s="38"/>
      <c r="L491" s="1"/>
      <c r="M491" s="1"/>
      <c r="N491" s="1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40"/>
      <c r="AE491" s="40"/>
    </row>
    <row r="492" spans="1:31" x14ac:dyDescent="0.25">
      <c r="A492" s="2"/>
      <c r="B492" s="1"/>
      <c r="C492" s="22">
        <v>432</v>
      </c>
      <c r="D492" s="34">
        <f t="shared" si="34"/>
        <v>4.32</v>
      </c>
      <c r="E492" s="30">
        <f t="shared" si="31"/>
        <v>0</v>
      </c>
      <c r="F492" s="31">
        <f t="shared" si="32"/>
        <v>0</v>
      </c>
      <c r="G492" s="32">
        <f t="shared" si="33"/>
        <v>0.13888888888888884</v>
      </c>
      <c r="H492" s="34">
        <f t="shared" si="35"/>
        <v>0.13888888888888884</v>
      </c>
      <c r="I492" s="42"/>
      <c r="J492" s="38"/>
      <c r="K492" s="38"/>
      <c r="L492" s="1"/>
      <c r="M492" s="1"/>
      <c r="N492" s="1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40"/>
      <c r="AE492" s="40"/>
    </row>
    <row r="493" spans="1:31" x14ac:dyDescent="0.25">
      <c r="A493" s="2"/>
      <c r="B493" s="1"/>
      <c r="C493" s="22">
        <v>433</v>
      </c>
      <c r="D493" s="34">
        <f t="shared" si="34"/>
        <v>4.33</v>
      </c>
      <c r="E493" s="30">
        <f t="shared" si="31"/>
        <v>0</v>
      </c>
      <c r="F493" s="31">
        <f t="shared" si="32"/>
        <v>0</v>
      </c>
      <c r="G493" s="32">
        <f t="shared" si="33"/>
        <v>0.138568129330254</v>
      </c>
      <c r="H493" s="34">
        <f t="shared" si="35"/>
        <v>0.138568129330254</v>
      </c>
      <c r="I493" s="42"/>
      <c r="J493" s="38"/>
      <c r="K493" s="38"/>
      <c r="L493" s="1"/>
      <c r="M493" s="1"/>
      <c r="N493" s="1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40"/>
      <c r="AE493" s="40"/>
    </row>
    <row r="494" spans="1:31" x14ac:dyDescent="0.25">
      <c r="A494" s="2"/>
      <c r="B494" s="1"/>
      <c r="C494" s="22">
        <v>434</v>
      </c>
      <c r="D494" s="34">
        <f t="shared" si="34"/>
        <v>4.34</v>
      </c>
      <c r="E494" s="30">
        <f t="shared" si="31"/>
        <v>0</v>
      </c>
      <c r="F494" s="31">
        <f t="shared" si="32"/>
        <v>0</v>
      </c>
      <c r="G494" s="32">
        <f t="shared" si="33"/>
        <v>0.13824884792626727</v>
      </c>
      <c r="H494" s="34">
        <f t="shared" si="35"/>
        <v>0.13824884792626727</v>
      </c>
      <c r="I494" s="42"/>
      <c r="J494" s="38"/>
      <c r="K494" s="38"/>
      <c r="L494" s="1"/>
      <c r="M494" s="1"/>
      <c r="N494" s="1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40"/>
      <c r="AE494" s="40"/>
    </row>
    <row r="495" spans="1:31" x14ac:dyDescent="0.25">
      <c r="A495" s="2"/>
      <c r="B495" s="1"/>
      <c r="C495" s="22">
        <v>435</v>
      </c>
      <c r="D495" s="34">
        <f t="shared" si="34"/>
        <v>4.3500000000000005</v>
      </c>
      <c r="E495" s="30">
        <f t="shared" si="31"/>
        <v>0</v>
      </c>
      <c r="F495" s="31">
        <f t="shared" si="32"/>
        <v>0</v>
      </c>
      <c r="G495" s="32">
        <f t="shared" si="33"/>
        <v>0.13793103448275856</v>
      </c>
      <c r="H495" s="34">
        <f t="shared" si="35"/>
        <v>0.13793103448275856</v>
      </c>
      <c r="I495" s="42"/>
      <c r="J495" s="38"/>
      <c r="K495" s="38"/>
      <c r="L495" s="1"/>
      <c r="M495" s="1"/>
      <c r="N495" s="1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40"/>
      <c r="AE495" s="40"/>
    </row>
    <row r="496" spans="1:31" x14ac:dyDescent="0.25">
      <c r="A496" s="2"/>
      <c r="B496" s="1"/>
      <c r="C496" s="22">
        <v>436</v>
      </c>
      <c r="D496" s="34">
        <f t="shared" si="34"/>
        <v>4.3600000000000003</v>
      </c>
      <c r="E496" s="30">
        <f t="shared" si="31"/>
        <v>0</v>
      </c>
      <c r="F496" s="31">
        <f t="shared" si="32"/>
        <v>0</v>
      </c>
      <c r="G496" s="32">
        <f t="shared" si="33"/>
        <v>0.13761467889908252</v>
      </c>
      <c r="H496" s="34">
        <f t="shared" si="35"/>
        <v>0.13761467889908252</v>
      </c>
      <c r="I496" s="42"/>
      <c r="J496" s="38"/>
      <c r="K496" s="38"/>
      <c r="L496" s="1"/>
      <c r="M496" s="1"/>
      <c r="N496" s="1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40"/>
      <c r="AE496" s="40"/>
    </row>
    <row r="497" spans="1:31" x14ac:dyDescent="0.25">
      <c r="A497" s="2"/>
      <c r="B497" s="1"/>
      <c r="C497" s="22">
        <v>437</v>
      </c>
      <c r="D497" s="34">
        <f t="shared" si="34"/>
        <v>4.37</v>
      </c>
      <c r="E497" s="30">
        <f t="shared" si="31"/>
        <v>0</v>
      </c>
      <c r="F497" s="31">
        <f t="shared" si="32"/>
        <v>0</v>
      </c>
      <c r="G497" s="32">
        <f t="shared" si="33"/>
        <v>0.13729977116704803</v>
      </c>
      <c r="H497" s="34">
        <f t="shared" si="35"/>
        <v>0.13729977116704803</v>
      </c>
      <c r="I497" s="42"/>
      <c r="J497" s="38"/>
      <c r="K497" s="38"/>
      <c r="L497" s="1"/>
      <c r="M497" s="1"/>
      <c r="N497" s="1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40"/>
      <c r="AE497" s="40"/>
    </row>
    <row r="498" spans="1:31" x14ac:dyDescent="0.25">
      <c r="A498" s="2"/>
      <c r="B498" s="1"/>
      <c r="C498" s="22">
        <v>438</v>
      </c>
      <c r="D498" s="34">
        <f t="shared" si="34"/>
        <v>4.38</v>
      </c>
      <c r="E498" s="30">
        <f t="shared" si="31"/>
        <v>0</v>
      </c>
      <c r="F498" s="31">
        <f t="shared" si="32"/>
        <v>0</v>
      </c>
      <c r="G498" s="32">
        <f t="shared" si="33"/>
        <v>0.13698630136986298</v>
      </c>
      <c r="H498" s="34">
        <f t="shared" si="35"/>
        <v>0.13698630136986298</v>
      </c>
      <c r="I498" s="42"/>
      <c r="J498" s="38"/>
      <c r="K498" s="38"/>
      <c r="L498" s="1"/>
      <c r="M498" s="1"/>
      <c r="N498" s="1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40"/>
      <c r="AE498" s="40"/>
    </row>
    <row r="499" spans="1:31" x14ac:dyDescent="0.25">
      <c r="A499" s="2"/>
      <c r="B499" s="1"/>
      <c r="C499" s="22">
        <v>439</v>
      </c>
      <c r="D499" s="34">
        <f t="shared" si="34"/>
        <v>4.3899999999999997</v>
      </c>
      <c r="E499" s="30">
        <f t="shared" si="31"/>
        <v>0</v>
      </c>
      <c r="F499" s="31">
        <f t="shared" si="32"/>
        <v>0</v>
      </c>
      <c r="G499" s="32">
        <f t="shared" si="33"/>
        <v>0.13667425968109337</v>
      </c>
      <c r="H499" s="34">
        <f t="shared" si="35"/>
        <v>0.13667425968109337</v>
      </c>
      <c r="I499" s="42"/>
      <c r="J499" s="38"/>
      <c r="K499" s="38"/>
      <c r="L499" s="1"/>
      <c r="M499" s="1"/>
      <c r="N499" s="1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40"/>
      <c r="AE499" s="40"/>
    </row>
    <row r="500" spans="1:31" x14ac:dyDescent="0.25">
      <c r="A500" s="2"/>
      <c r="B500" s="1"/>
      <c r="C500" s="22">
        <v>440</v>
      </c>
      <c r="D500" s="34">
        <f t="shared" si="34"/>
        <v>4.4000000000000004</v>
      </c>
      <c r="E500" s="30">
        <f t="shared" si="31"/>
        <v>0</v>
      </c>
      <c r="F500" s="31">
        <f t="shared" si="32"/>
        <v>0</v>
      </c>
      <c r="G500" s="32">
        <f t="shared" si="33"/>
        <v>0.13636363636363633</v>
      </c>
      <c r="H500" s="34">
        <f t="shared" si="35"/>
        <v>0.13636363636363633</v>
      </c>
      <c r="I500" s="42"/>
      <c r="J500" s="38"/>
      <c r="K500" s="38"/>
      <c r="L500" s="1"/>
      <c r="M500" s="1"/>
      <c r="N500" s="1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40"/>
      <c r="AE500" s="40"/>
    </row>
    <row r="501" spans="1:31" x14ac:dyDescent="0.25">
      <c r="A501" s="2"/>
      <c r="B501" s="1"/>
      <c r="C501" s="22">
        <v>441</v>
      </c>
      <c r="D501" s="34">
        <f t="shared" si="34"/>
        <v>4.41</v>
      </c>
      <c r="E501" s="30">
        <f t="shared" si="31"/>
        <v>0</v>
      </c>
      <c r="F501" s="31">
        <f t="shared" si="32"/>
        <v>0</v>
      </c>
      <c r="G501" s="32">
        <f t="shared" si="33"/>
        <v>0.13605442176870744</v>
      </c>
      <c r="H501" s="34">
        <f t="shared" si="35"/>
        <v>0.13605442176870744</v>
      </c>
      <c r="I501" s="42"/>
      <c r="J501" s="38"/>
      <c r="K501" s="38"/>
      <c r="L501" s="1"/>
      <c r="M501" s="1"/>
      <c r="N501" s="1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40"/>
      <c r="AE501" s="40"/>
    </row>
    <row r="502" spans="1:31" x14ac:dyDescent="0.25">
      <c r="A502" s="2"/>
      <c r="B502" s="1"/>
      <c r="C502" s="22">
        <v>442</v>
      </c>
      <c r="D502" s="34">
        <f t="shared" si="34"/>
        <v>4.42</v>
      </c>
      <c r="E502" s="30">
        <f t="shared" si="31"/>
        <v>0</v>
      </c>
      <c r="F502" s="31">
        <f t="shared" si="32"/>
        <v>0</v>
      </c>
      <c r="G502" s="32">
        <f t="shared" si="33"/>
        <v>0.13574660633484159</v>
      </c>
      <c r="H502" s="34">
        <f t="shared" si="35"/>
        <v>0.13574660633484159</v>
      </c>
      <c r="I502" s="42"/>
      <c r="J502" s="38"/>
      <c r="K502" s="38"/>
      <c r="L502" s="1"/>
      <c r="M502" s="1"/>
      <c r="N502" s="1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40"/>
      <c r="AE502" s="40"/>
    </row>
    <row r="503" spans="1:31" x14ac:dyDescent="0.25">
      <c r="A503" s="2"/>
      <c r="B503" s="1"/>
      <c r="C503" s="22">
        <v>443</v>
      </c>
      <c r="D503" s="34">
        <f t="shared" si="34"/>
        <v>4.43</v>
      </c>
      <c r="E503" s="30">
        <f t="shared" si="31"/>
        <v>0</v>
      </c>
      <c r="F503" s="31">
        <f t="shared" si="32"/>
        <v>0</v>
      </c>
      <c r="G503" s="32">
        <f t="shared" si="33"/>
        <v>0.13544018058690743</v>
      </c>
      <c r="H503" s="34">
        <f t="shared" si="35"/>
        <v>0.13544018058690743</v>
      </c>
      <c r="I503" s="42"/>
      <c r="J503" s="38"/>
      <c r="K503" s="38"/>
      <c r="L503" s="1"/>
      <c r="M503" s="1"/>
      <c r="N503" s="1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40"/>
      <c r="AE503" s="40"/>
    </row>
    <row r="504" spans="1:31" x14ac:dyDescent="0.25">
      <c r="A504" s="2"/>
      <c r="B504" s="1"/>
      <c r="C504" s="22">
        <v>444</v>
      </c>
      <c r="D504" s="34">
        <f t="shared" si="34"/>
        <v>4.4400000000000004</v>
      </c>
      <c r="E504" s="30">
        <f t="shared" si="31"/>
        <v>0</v>
      </c>
      <c r="F504" s="31">
        <f t="shared" si="32"/>
        <v>0</v>
      </c>
      <c r="G504" s="32">
        <f t="shared" si="33"/>
        <v>0.13513513513513509</v>
      </c>
      <c r="H504" s="34">
        <f t="shared" si="35"/>
        <v>0.13513513513513509</v>
      </c>
      <c r="I504" s="42"/>
      <c r="J504" s="38"/>
      <c r="K504" s="38"/>
      <c r="L504" s="1"/>
      <c r="M504" s="1"/>
      <c r="N504" s="1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40"/>
      <c r="AE504" s="40"/>
    </row>
    <row r="505" spans="1:31" x14ac:dyDescent="0.25">
      <c r="A505" s="2"/>
      <c r="B505" s="1"/>
      <c r="C505" s="22">
        <v>445</v>
      </c>
      <c r="D505" s="34">
        <f t="shared" si="34"/>
        <v>4.45</v>
      </c>
      <c r="E505" s="30">
        <f t="shared" si="31"/>
        <v>0</v>
      </c>
      <c r="F505" s="31">
        <f t="shared" si="32"/>
        <v>0</v>
      </c>
      <c r="G505" s="32">
        <f t="shared" si="33"/>
        <v>0.13483146067415727</v>
      </c>
      <c r="H505" s="34">
        <f t="shared" si="35"/>
        <v>0.13483146067415727</v>
      </c>
      <c r="I505" s="42"/>
      <c r="J505" s="38"/>
      <c r="K505" s="38"/>
      <c r="L505" s="1"/>
      <c r="M505" s="1"/>
      <c r="N505" s="1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40"/>
      <c r="AE505" s="40"/>
    </row>
    <row r="506" spans="1:31" x14ac:dyDescent="0.25">
      <c r="A506" s="2"/>
      <c r="B506" s="1"/>
      <c r="C506" s="22">
        <v>446</v>
      </c>
      <c r="D506" s="34">
        <f t="shared" si="34"/>
        <v>4.46</v>
      </c>
      <c r="E506" s="30">
        <f t="shared" si="31"/>
        <v>0</v>
      </c>
      <c r="F506" s="31">
        <f t="shared" si="32"/>
        <v>0</v>
      </c>
      <c r="G506" s="32">
        <f t="shared" si="33"/>
        <v>0.13452914798206275</v>
      </c>
      <c r="H506" s="34">
        <f t="shared" si="35"/>
        <v>0.13452914798206275</v>
      </c>
      <c r="I506" s="42"/>
      <c r="J506" s="38"/>
      <c r="K506" s="38"/>
      <c r="L506" s="1"/>
      <c r="M506" s="1"/>
      <c r="N506" s="1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40"/>
      <c r="AE506" s="40"/>
    </row>
    <row r="507" spans="1:31" x14ac:dyDescent="0.25">
      <c r="A507" s="2"/>
      <c r="B507" s="1"/>
      <c r="C507" s="22">
        <v>447</v>
      </c>
      <c r="D507" s="34">
        <f t="shared" si="34"/>
        <v>4.47</v>
      </c>
      <c r="E507" s="30">
        <f t="shared" si="31"/>
        <v>0</v>
      </c>
      <c r="F507" s="31">
        <f t="shared" si="32"/>
        <v>0</v>
      </c>
      <c r="G507" s="32">
        <f t="shared" si="33"/>
        <v>0.13422818791946306</v>
      </c>
      <c r="H507" s="34">
        <f t="shared" si="35"/>
        <v>0.13422818791946306</v>
      </c>
      <c r="I507" s="42"/>
      <c r="J507" s="38"/>
      <c r="K507" s="38"/>
      <c r="L507" s="1"/>
      <c r="M507" s="1"/>
      <c r="N507" s="1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40"/>
      <c r="AE507" s="40"/>
    </row>
    <row r="508" spans="1:31" x14ac:dyDescent="0.25">
      <c r="A508" s="2"/>
      <c r="B508" s="1"/>
      <c r="C508" s="22">
        <v>448</v>
      </c>
      <c r="D508" s="34">
        <f t="shared" si="34"/>
        <v>4.4800000000000004</v>
      </c>
      <c r="E508" s="30">
        <f t="shared" ref="E508:E571" si="36">IF(D508&lt;$C$25,0.4+5*D508,0)</f>
        <v>0</v>
      </c>
      <c r="F508" s="31">
        <f t="shared" ref="F508:F571" si="37">IF(AND(D508&gt;=$C$25,D508&lt;=$C$26),$C$12,0)</f>
        <v>0</v>
      </c>
      <c r="G508" s="32">
        <f t="shared" ref="G508:G571" si="38">IF(D508&gt;$C$26,$C$13/D508,0)</f>
        <v>0.1339285714285714</v>
      </c>
      <c r="H508" s="34">
        <f t="shared" si="35"/>
        <v>0.1339285714285714</v>
      </c>
      <c r="I508" s="42"/>
      <c r="J508" s="38"/>
      <c r="K508" s="38"/>
      <c r="L508" s="1"/>
      <c r="M508" s="1"/>
      <c r="N508" s="1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40"/>
      <c r="AE508" s="40"/>
    </row>
    <row r="509" spans="1:31" x14ac:dyDescent="0.25">
      <c r="A509" s="2"/>
      <c r="B509" s="1"/>
      <c r="C509" s="22">
        <v>449</v>
      </c>
      <c r="D509" s="34">
        <f t="shared" ref="D509:D572" si="39">$D$55*C509</f>
        <v>4.49</v>
      </c>
      <c r="E509" s="30">
        <f t="shared" si="36"/>
        <v>0</v>
      </c>
      <c r="F509" s="31">
        <f t="shared" si="37"/>
        <v>0</v>
      </c>
      <c r="G509" s="32">
        <f t="shared" si="38"/>
        <v>0.13363028953229394</v>
      </c>
      <c r="H509" s="34">
        <f t="shared" si="35"/>
        <v>0.13363028953229394</v>
      </c>
      <c r="I509" s="42"/>
      <c r="J509" s="38"/>
      <c r="K509" s="38"/>
      <c r="L509" s="1"/>
      <c r="M509" s="1"/>
      <c r="N509" s="1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40"/>
      <c r="AE509" s="40"/>
    </row>
    <row r="510" spans="1:31" x14ac:dyDescent="0.25">
      <c r="A510" s="2"/>
      <c r="B510" s="1"/>
      <c r="C510" s="22">
        <v>450</v>
      </c>
      <c r="D510" s="34">
        <f t="shared" si="39"/>
        <v>4.5</v>
      </c>
      <c r="E510" s="30">
        <f t="shared" si="36"/>
        <v>0</v>
      </c>
      <c r="F510" s="31">
        <f t="shared" si="37"/>
        <v>0</v>
      </c>
      <c r="G510" s="32">
        <f t="shared" si="38"/>
        <v>0.1333333333333333</v>
      </c>
      <c r="H510" s="34">
        <f t="shared" si="35"/>
        <v>0.1333333333333333</v>
      </c>
      <c r="I510" s="42"/>
      <c r="J510" s="38"/>
      <c r="K510" s="38"/>
      <c r="L510" s="1"/>
      <c r="M510" s="1"/>
      <c r="N510" s="1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40"/>
      <c r="AE510" s="40"/>
    </row>
    <row r="511" spans="1:31" x14ac:dyDescent="0.25">
      <c r="A511" s="2"/>
      <c r="B511" s="1"/>
      <c r="C511" s="22">
        <v>451</v>
      </c>
      <c r="D511" s="34">
        <f t="shared" si="39"/>
        <v>4.51</v>
      </c>
      <c r="E511" s="30">
        <f t="shared" si="36"/>
        <v>0</v>
      </c>
      <c r="F511" s="31">
        <f t="shared" si="37"/>
        <v>0</v>
      </c>
      <c r="G511" s="32">
        <f t="shared" si="38"/>
        <v>0.13303769401330376</v>
      </c>
      <c r="H511" s="34">
        <f t="shared" si="35"/>
        <v>0.13303769401330376</v>
      </c>
      <c r="I511" s="42"/>
      <c r="J511" s="38"/>
      <c r="K511" s="38"/>
      <c r="L511" s="1"/>
      <c r="M511" s="1"/>
      <c r="N511" s="1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40"/>
      <c r="AE511" s="40"/>
    </row>
    <row r="512" spans="1:31" x14ac:dyDescent="0.25">
      <c r="A512" s="2"/>
      <c r="B512" s="1"/>
      <c r="C512" s="22">
        <v>452</v>
      </c>
      <c r="D512" s="34">
        <f t="shared" si="39"/>
        <v>4.5200000000000005</v>
      </c>
      <c r="E512" s="30">
        <f t="shared" si="36"/>
        <v>0</v>
      </c>
      <c r="F512" s="31">
        <f t="shared" si="37"/>
        <v>0</v>
      </c>
      <c r="G512" s="32">
        <f t="shared" si="38"/>
        <v>0.13274336283185836</v>
      </c>
      <c r="H512" s="34">
        <f t="shared" si="35"/>
        <v>0.13274336283185836</v>
      </c>
      <c r="I512" s="42"/>
      <c r="J512" s="38"/>
      <c r="K512" s="38"/>
      <c r="L512" s="1"/>
      <c r="M512" s="1"/>
      <c r="N512" s="1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40"/>
      <c r="AE512" s="40"/>
    </row>
    <row r="513" spans="1:31" x14ac:dyDescent="0.25">
      <c r="A513" s="2"/>
      <c r="B513" s="1"/>
      <c r="C513" s="22">
        <v>453</v>
      </c>
      <c r="D513" s="34">
        <f t="shared" si="39"/>
        <v>4.53</v>
      </c>
      <c r="E513" s="30">
        <f t="shared" si="36"/>
        <v>0</v>
      </c>
      <c r="F513" s="31">
        <f t="shared" si="37"/>
        <v>0</v>
      </c>
      <c r="G513" s="32">
        <f t="shared" si="38"/>
        <v>0.13245033112582777</v>
      </c>
      <c r="H513" s="34">
        <f t="shared" si="35"/>
        <v>0.13245033112582777</v>
      </c>
      <c r="I513" s="42"/>
      <c r="J513" s="38"/>
      <c r="K513" s="38"/>
      <c r="L513" s="1"/>
      <c r="M513" s="1"/>
      <c r="N513" s="1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40"/>
      <c r="AE513" s="40"/>
    </row>
    <row r="514" spans="1:31" x14ac:dyDescent="0.25">
      <c r="A514" s="2"/>
      <c r="B514" s="1"/>
      <c r="C514" s="22">
        <v>454</v>
      </c>
      <c r="D514" s="34">
        <f t="shared" si="39"/>
        <v>4.54</v>
      </c>
      <c r="E514" s="30">
        <f t="shared" si="36"/>
        <v>0</v>
      </c>
      <c r="F514" s="31">
        <f t="shared" si="37"/>
        <v>0</v>
      </c>
      <c r="G514" s="32">
        <f t="shared" si="38"/>
        <v>0.13215859030837002</v>
      </c>
      <c r="H514" s="34">
        <f t="shared" si="35"/>
        <v>0.13215859030837002</v>
      </c>
      <c r="I514" s="42"/>
      <c r="J514" s="38"/>
      <c r="K514" s="38"/>
      <c r="L514" s="1"/>
      <c r="M514" s="1"/>
      <c r="N514" s="1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40"/>
      <c r="AE514" s="40"/>
    </row>
    <row r="515" spans="1:31" x14ac:dyDescent="0.25">
      <c r="A515" s="2"/>
      <c r="B515" s="1"/>
      <c r="C515" s="22">
        <v>455</v>
      </c>
      <c r="D515" s="34">
        <f t="shared" si="39"/>
        <v>4.55</v>
      </c>
      <c r="E515" s="30">
        <f t="shared" si="36"/>
        <v>0</v>
      </c>
      <c r="F515" s="31">
        <f t="shared" si="37"/>
        <v>0</v>
      </c>
      <c r="G515" s="32">
        <f t="shared" si="38"/>
        <v>0.13186813186813184</v>
      </c>
      <c r="H515" s="34">
        <f t="shared" si="35"/>
        <v>0.13186813186813184</v>
      </c>
      <c r="I515" s="42"/>
      <c r="J515" s="38"/>
      <c r="K515" s="38"/>
      <c r="L515" s="1"/>
      <c r="M515" s="1"/>
      <c r="N515" s="1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40"/>
      <c r="AE515" s="40"/>
    </row>
    <row r="516" spans="1:31" x14ac:dyDescent="0.25">
      <c r="A516" s="2"/>
      <c r="B516" s="1"/>
      <c r="C516" s="22">
        <v>456</v>
      </c>
      <c r="D516" s="34">
        <f t="shared" si="39"/>
        <v>4.5600000000000005</v>
      </c>
      <c r="E516" s="30">
        <f t="shared" si="36"/>
        <v>0</v>
      </c>
      <c r="F516" s="31">
        <f t="shared" si="37"/>
        <v>0</v>
      </c>
      <c r="G516" s="32">
        <f t="shared" si="38"/>
        <v>0.13157894736842102</v>
      </c>
      <c r="H516" s="34">
        <f t="shared" si="35"/>
        <v>0.13157894736842102</v>
      </c>
      <c r="I516" s="42"/>
      <c r="J516" s="38"/>
      <c r="K516" s="38"/>
      <c r="L516" s="1"/>
      <c r="M516" s="1"/>
      <c r="N516" s="1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40"/>
      <c r="AE516" s="40"/>
    </row>
    <row r="517" spans="1:31" x14ac:dyDescent="0.25">
      <c r="A517" s="2"/>
      <c r="B517" s="1"/>
      <c r="C517" s="22">
        <v>457</v>
      </c>
      <c r="D517" s="34">
        <f t="shared" si="39"/>
        <v>4.57</v>
      </c>
      <c r="E517" s="30">
        <f t="shared" si="36"/>
        <v>0</v>
      </c>
      <c r="F517" s="31">
        <f t="shared" si="37"/>
        <v>0</v>
      </c>
      <c r="G517" s="32">
        <f t="shared" si="38"/>
        <v>0.13129102844638946</v>
      </c>
      <c r="H517" s="34">
        <f t="shared" si="35"/>
        <v>0.13129102844638946</v>
      </c>
      <c r="I517" s="42"/>
      <c r="J517" s="38"/>
      <c r="K517" s="38"/>
      <c r="L517" s="1"/>
      <c r="M517" s="1"/>
      <c r="N517" s="1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40"/>
      <c r="AE517" s="40"/>
    </row>
    <row r="518" spans="1:31" x14ac:dyDescent="0.25">
      <c r="A518" s="2"/>
      <c r="B518" s="1"/>
      <c r="C518" s="22">
        <v>458</v>
      </c>
      <c r="D518" s="34">
        <f t="shared" si="39"/>
        <v>4.58</v>
      </c>
      <c r="E518" s="30">
        <f t="shared" si="36"/>
        <v>0</v>
      </c>
      <c r="F518" s="31">
        <f t="shared" si="37"/>
        <v>0</v>
      </c>
      <c r="G518" s="32">
        <f t="shared" si="38"/>
        <v>0.13100436681222705</v>
      </c>
      <c r="H518" s="34">
        <f t="shared" si="35"/>
        <v>0.13100436681222705</v>
      </c>
      <c r="I518" s="42"/>
      <c r="J518" s="38"/>
      <c r="K518" s="38"/>
      <c r="L518" s="1"/>
      <c r="M518" s="1"/>
      <c r="N518" s="1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40"/>
      <c r="AE518" s="40"/>
    </row>
    <row r="519" spans="1:31" x14ac:dyDescent="0.25">
      <c r="A519" s="2"/>
      <c r="B519" s="1"/>
      <c r="C519" s="22">
        <v>459</v>
      </c>
      <c r="D519" s="34">
        <f t="shared" si="39"/>
        <v>4.59</v>
      </c>
      <c r="E519" s="30">
        <f t="shared" si="36"/>
        <v>0</v>
      </c>
      <c r="F519" s="31">
        <f t="shared" si="37"/>
        <v>0</v>
      </c>
      <c r="G519" s="32">
        <f t="shared" si="38"/>
        <v>0.13071895424836599</v>
      </c>
      <c r="H519" s="34">
        <f t="shared" si="35"/>
        <v>0.13071895424836599</v>
      </c>
      <c r="I519" s="42"/>
      <c r="J519" s="38"/>
      <c r="K519" s="38"/>
      <c r="L519" s="1"/>
      <c r="M519" s="1"/>
      <c r="N519" s="1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40"/>
      <c r="AE519" s="40"/>
    </row>
    <row r="520" spans="1:31" x14ac:dyDescent="0.25">
      <c r="A520" s="2"/>
      <c r="B520" s="1"/>
      <c r="C520" s="22">
        <v>460</v>
      </c>
      <c r="D520" s="34">
        <f t="shared" si="39"/>
        <v>4.6000000000000005</v>
      </c>
      <c r="E520" s="30">
        <f t="shared" si="36"/>
        <v>0</v>
      </c>
      <c r="F520" s="31">
        <f t="shared" si="37"/>
        <v>0</v>
      </c>
      <c r="G520" s="32">
        <f t="shared" si="38"/>
        <v>0.13043478260869562</v>
      </c>
      <c r="H520" s="34">
        <f t="shared" si="35"/>
        <v>0.13043478260869562</v>
      </c>
      <c r="I520" s="42"/>
      <c r="J520" s="38"/>
      <c r="K520" s="38"/>
      <c r="L520" s="1"/>
      <c r="M520" s="1"/>
      <c r="N520" s="1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40"/>
      <c r="AE520" s="40"/>
    </row>
    <row r="521" spans="1:31" x14ac:dyDescent="0.25">
      <c r="A521" s="2"/>
      <c r="B521" s="1"/>
      <c r="C521" s="22">
        <v>461</v>
      </c>
      <c r="D521" s="34">
        <f t="shared" si="39"/>
        <v>4.6100000000000003</v>
      </c>
      <c r="E521" s="30">
        <f t="shared" si="36"/>
        <v>0</v>
      </c>
      <c r="F521" s="31">
        <f t="shared" si="37"/>
        <v>0</v>
      </c>
      <c r="G521" s="32">
        <f t="shared" si="38"/>
        <v>0.13015184381778738</v>
      </c>
      <c r="H521" s="34">
        <f t="shared" si="35"/>
        <v>0.13015184381778738</v>
      </c>
      <c r="I521" s="42"/>
      <c r="J521" s="38"/>
      <c r="K521" s="38"/>
      <c r="L521" s="1"/>
      <c r="M521" s="1"/>
      <c r="N521" s="1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40"/>
      <c r="AE521" s="40"/>
    </row>
    <row r="522" spans="1:31" x14ac:dyDescent="0.25">
      <c r="A522" s="2"/>
      <c r="B522" s="1"/>
      <c r="C522" s="22">
        <v>462</v>
      </c>
      <c r="D522" s="34">
        <f t="shared" si="39"/>
        <v>4.62</v>
      </c>
      <c r="E522" s="30">
        <f t="shared" si="36"/>
        <v>0</v>
      </c>
      <c r="F522" s="31">
        <f t="shared" si="37"/>
        <v>0</v>
      </c>
      <c r="G522" s="32">
        <f t="shared" si="38"/>
        <v>0.12987012987012983</v>
      </c>
      <c r="H522" s="34">
        <f t="shared" si="35"/>
        <v>0.12987012987012983</v>
      </c>
      <c r="I522" s="42"/>
      <c r="J522" s="38"/>
      <c r="K522" s="38"/>
      <c r="L522" s="1"/>
      <c r="M522" s="1"/>
      <c r="N522" s="1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40"/>
      <c r="AE522" s="40"/>
    </row>
    <row r="523" spans="1:31" x14ac:dyDescent="0.25">
      <c r="A523" s="2"/>
      <c r="B523" s="1"/>
      <c r="C523" s="22">
        <v>463</v>
      </c>
      <c r="D523" s="34">
        <f t="shared" si="39"/>
        <v>4.63</v>
      </c>
      <c r="E523" s="30">
        <f t="shared" si="36"/>
        <v>0</v>
      </c>
      <c r="F523" s="31">
        <f t="shared" si="37"/>
        <v>0</v>
      </c>
      <c r="G523" s="32">
        <f t="shared" si="38"/>
        <v>0.12958963282937364</v>
      </c>
      <c r="H523" s="34">
        <f t="shared" si="35"/>
        <v>0.12958963282937364</v>
      </c>
      <c r="I523" s="42"/>
      <c r="J523" s="38"/>
      <c r="K523" s="38"/>
      <c r="L523" s="1"/>
      <c r="M523" s="1"/>
      <c r="N523" s="1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40"/>
      <c r="AE523" s="40"/>
    </row>
    <row r="524" spans="1:31" x14ac:dyDescent="0.25">
      <c r="A524" s="2"/>
      <c r="B524" s="1"/>
      <c r="C524" s="22">
        <v>464</v>
      </c>
      <c r="D524" s="34">
        <f t="shared" si="39"/>
        <v>4.6399999999999997</v>
      </c>
      <c r="E524" s="30">
        <f t="shared" si="36"/>
        <v>0</v>
      </c>
      <c r="F524" s="31">
        <f t="shared" si="37"/>
        <v>0</v>
      </c>
      <c r="G524" s="32">
        <f t="shared" si="38"/>
        <v>0.12931034482758619</v>
      </c>
      <c r="H524" s="34">
        <f t="shared" si="35"/>
        <v>0.12931034482758619</v>
      </c>
      <c r="I524" s="42"/>
      <c r="J524" s="38"/>
      <c r="K524" s="38"/>
      <c r="L524" s="1"/>
      <c r="M524" s="1"/>
      <c r="N524" s="1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40"/>
      <c r="AE524" s="40"/>
    </row>
    <row r="525" spans="1:31" x14ac:dyDescent="0.25">
      <c r="A525" s="2"/>
      <c r="B525" s="1"/>
      <c r="C525" s="22">
        <v>465</v>
      </c>
      <c r="D525" s="34">
        <f t="shared" si="39"/>
        <v>4.6500000000000004</v>
      </c>
      <c r="E525" s="30">
        <f t="shared" si="36"/>
        <v>0</v>
      </c>
      <c r="F525" s="31">
        <f t="shared" si="37"/>
        <v>0</v>
      </c>
      <c r="G525" s="32">
        <f t="shared" si="38"/>
        <v>0.1290322580645161</v>
      </c>
      <c r="H525" s="34">
        <f t="shared" si="35"/>
        <v>0.1290322580645161</v>
      </c>
      <c r="I525" s="42"/>
      <c r="J525" s="38"/>
      <c r="K525" s="38"/>
      <c r="L525" s="1"/>
      <c r="M525" s="1"/>
      <c r="N525" s="1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40"/>
      <c r="AE525" s="40"/>
    </row>
    <row r="526" spans="1:31" x14ac:dyDescent="0.25">
      <c r="A526" s="2"/>
      <c r="B526" s="1"/>
      <c r="C526" s="22">
        <v>466</v>
      </c>
      <c r="D526" s="34">
        <f t="shared" si="39"/>
        <v>4.66</v>
      </c>
      <c r="E526" s="30">
        <f t="shared" si="36"/>
        <v>0</v>
      </c>
      <c r="F526" s="31">
        <f t="shared" si="37"/>
        <v>0</v>
      </c>
      <c r="G526" s="32">
        <f t="shared" si="38"/>
        <v>0.12875536480686692</v>
      </c>
      <c r="H526" s="34">
        <f t="shared" si="35"/>
        <v>0.12875536480686692</v>
      </c>
      <c r="I526" s="42"/>
      <c r="J526" s="38"/>
      <c r="K526" s="38"/>
      <c r="L526" s="1"/>
      <c r="M526" s="1"/>
      <c r="N526" s="1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40"/>
      <c r="AE526" s="40"/>
    </row>
    <row r="527" spans="1:31" x14ac:dyDescent="0.25">
      <c r="A527" s="2"/>
      <c r="B527" s="1"/>
      <c r="C527" s="22">
        <v>467</v>
      </c>
      <c r="D527" s="34">
        <f t="shared" si="39"/>
        <v>4.67</v>
      </c>
      <c r="E527" s="30">
        <f t="shared" si="36"/>
        <v>0</v>
      </c>
      <c r="F527" s="31">
        <f t="shared" si="37"/>
        <v>0</v>
      </c>
      <c r="G527" s="32">
        <f t="shared" si="38"/>
        <v>0.12847965738758027</v>
      </c>
      <c r="H527" s="34">
        <f t="shared" si="35"/>
        <v>0.12847965738758027</v>
      </c>
      <c r="I527" s="42"/>
      <c r="J527" s="38"/>
      <c r="K527" s="38"/>
      <c r="L527" s="1"/>
      <c r="M527" s="1"/>
      <c r="N527" s="1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40"/>
      <c r="AE527" s="40"/>
    </row>
    <row r="528" spans="1:31" x14ac:dyDescent="0.25">
      <c r="A528" s="2"/>
      <c r="B528" s="1"/>
      <c r="C528" s="22">
        <v>468</v>
      </c>
      <c r="D528" s="34">
        <f t="shared" si="39"/>
        <v>4.68</v>
      </c>
      <c r="E528" s="30">
        <f t="shared" si="36"/>
        <v>0</v>
      </c>
      <c r="F528" s="31">
        <f t="shared" si="37"/>
        <v>0</v>
      </c>
      <c r="G528" s="32">
        <f t="shared" si="38"/>
        <v>0.12820512820512819</v>
      </c>
      <c r="H528" s="34">
        <f t="shared" si="35"/>
        <v>0.12820512820512819</v>
      </c>
      <c r="I528" s="42"/>
      <c r="J528" s="38"/>
      <c r="K528" s="38"/>
      <c r="L528" s="1"/>
      <c r="M528" s="1"/>
      <c r="N528" s="1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40"/>
      <c r="AE528" s="40"/>
    </row>
    <row r="529" spans="1:31" x14ac:dyDescent="0.25">
      <c r="A529" s="2"/>
      <c r="B529" s="1"/>
      <c r="C529" s="22">
        <v>469</v>
      </c>
      <c r="D529" s="34">
        <f t="shared" si="39"/>
        <v>4.6900000000000004</v>
      </c>
      <c r="E529" s="30">
        <f t="shared" si="36"/>
        <v>0</v>
      </c>
      <c r="F529" s="31">
        <f t="shared" si="37"/>
        <v>0</v>
      </c>
      <c r="G529" s="32">
        <f t="shared" si="38"/>
        <v>0.12793176972281445</v>
      </c>
      <c r="H529" s="34">
        <f t="shared" si="35"/>
        <v>0.12793176972281445</v>
      </c>
      <c r="I529" s="42"/>
      <c r="J529" s="38"/>
      <c r="K529" s="38"/>
      <c r="L529" s="1"/>
      <c r="M529" s="1"/>
      <c r="N529" s="1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40"/>
      <c r="AE529" s="40"/>
    </row>
    <row r="530" spans="1:31" x14ac:dyDescent="0.25">
      <c r="A530" s="2"/>
      <c r="B530" s="1"/>
      <c r="C530" s="22">
        <v>470</v>
      </c>
      <c r="D530" s="34">
        <f t="shared" si="39"/>
        <v>4.7</v>
      </c>
      <c r="E530" s="30">
        <f t="shared" si="36"/>
        <v>0</v>
      </c>
      <c r="F530" s="31">
        <f t="shared" si="37"/>
        <v>0</v>
      </c>
      <c r="G530" s="32">
        <f t="shared" si="38"/>
        <v>0.12765957446808507</v>
      </c>
      <c r="H530" s="34">
        <f t="shared" si="35"/>
        <v>0.12765957446808507</v>
      </c>
      <c r="I530" s="42"/>
      <c r="J530" s="38"/>
      <c r="K530" s="38"/>
      <c r="L530" s="1"/>
      <c r="M530" s="1"/>
      <c r="N530" s="1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40"/>
      <c r="AE530" s="40"/>
    </row>
    <row r="531" spans="1:31" x14ac:dyDescent="0.25">
      <c r="A531" s="2"/>
      <c r="B531" s="1"/>
      <c r="C531" s="22">
        <v>471</v>
      </c>
      <c r="D531" s="34">
        <f t="shared" si="39"/>
        <v>4.71</v>
      </c>
      <c r="E531" s="30">
        <f t="shared" si="36"/>
        <v>0</v>
      </c>
      <c r="F531" s="31">
        <f t="shared" si="37"/>
        <v>0</v>
      </c>
      <c r="G531" s="32">
        <f t="shared" si="38"/>
        <v>0.12738853503184711</v>
      </c>
      <c r="H531" s="34">
        <f t="shared" si="35"/>
        <v>0.12738853503184711</v>
      </c>
      <c r="I531" s="42"/>
      <c r="J531" s="38"/>
      <c r="K531" s="38"/>
      <c r="L531" s="1"/>
      <c r="M531" s="1"/>
      <c r="N531" s="1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40"/>
      <c r="AE531" s="40"/>
    </row>
    <row r="532" spans="1:31" x14ac:dyDescent="0.25">
      <c r="A532" s="2"/>
      <c r="B532" s="1"/>
      <c r="C532" s="22">
        <v>472</v>
      </c>
      <c r="D532" s="34">
        <f t="shared" si="39"/>
        <v>4.72</v>
      </c>
      <c r="E532" s="30">
        <f t="shared" si="36"/>
        <v>0</v>
      </c>
      <c r="F532" s="31">
        <f t="shared" si="37"/>
        <v>0</v>
      </c>
      <c r="G532" s="32">
        <f t="shared" si="38"/>
        <v>0.12711864406779658</v>
      </c>
      <c r="H532" s="34">
        <f t="shared" si="35"/>
        <v>0.12711864406779658</v>
      </c>
      <c r="I532" s="42"/>
      <c r="J532" s="38"/>
      <c r="K532" s="38"/>
      <c r="L532" s="1"/>
      <c r="M532" s="1"/>
      <c r="N532" s="1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40"/>
      <c r="AE532" s="40"/>
    </row>
    <row r="533" spans="1:31" x14ac:dyDescent="0.25">
      <c r="A533" s="2"/>
      <c r="B533" s="1"/>
      <c r="C533" s="22">
        <v>473</v>
      </c>
      <c r="D533" s="34">
        <f t="shared" si="39"/>
        <v>4.7300000000000004</v>
      </c>
      <c r="E533" s="30">
        <f t="shared" si="36"/>
        <v>0</v>
      </c>
      <c r="F533" s="31">
        <f t="shared" si="37"/>
        <v>0</v>
      </c>
      <c r="G533" s="32">
        <f t="shared" si="38"/>
        <v>0.12684989429175472</v>
      </c>
      <c r="H533" s="34">
        <f t="shared" si="35"/>
        <v>0.12684989429175472</v>
      </c>
      <c r="I533" s="42"/>
      <c r="J533" s="38"/>
      <c r="K533" s="38"/>
      <c r="L533" s="1"/>
      <c r="M533" s="1"/>
      <c r="N533" s="1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40"/>
      <c r="AE533" s="40"/>
    </row>
    <row r="534" spans="1:31" x14ac:dyDescent="0.25">
      <c r="A534" s="2"/>
      <c r="B534" s="1"/>
      <c r="C534" s="22">
        <v>474</v>
      </c>
      <c r="D534" s="34">
        <f t="shared" si="39"/>
        <v>4.74</v>
      </c>
      <c r="E534" s="30">
        <f t="shared" si="36"/>
        <v>0</v>
      </c>
      <c r="F534" s="31">
        <f t="shared" si="37"/>
        <v>0</v>
      </c>
      <c r="G534" s="32">
        <f t="shared" si="38"/>
        <v>0.12658227848101261</v>
      </c>
      <c r="H534" s="34">
        <f t="shared" si="35"/>
        <v>0.12658227848101261</v>
      </c>
      <c r="I534" s="42"/>
      <c r="J534" s="38"/>
      <c r="K534" s="38"/>
      <c r="L534" s="1"/>
      <c r="M534" s="1"/>
      <c r="N534" s="1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40"/>
      <c r="AE534" s="40"/>
    </row>
    <row r="535" spans="1:31" x14ac:dyDescent="0.25">
      <c r="A535" s="2"/>
      <c r="B535" s="1"/>
      <c r="C535" s="22">
        <v>475</v>
      </c>
      <c r="D535" s="34">
        <f t="shared" si="39"/>
        <v>4.75</v>
      </c>
      <c r="E535" s="30">
        <f t="shared" si="36"/>
        <v>0</v>
      </c>
      <c r="F535" s="31">
        <f t="shared" si="37"/>
        <v>0</v>
      </c>
      <c r="G535" s="32">
        <f t="shared" si="38"/>
        <v>0.12631578947368419</v>
      </c>
      <c r="H535" s="34">
        <f t="shared" si="35"/>
        <v>0.12631578947368419</v>
      </c>
      <c r="I535" s="42"/>
      <c r="J535" s="38"/>
      <c r="K535" s="38"/>
      <c r="L535" s="1"/>
      <c r="M535" s="1"/>
      <c r="N535" s="1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40"/>
      <c r="AE535" s="40"/>
    </row>
    <row r="536" spans="1:31" x14ac:dyDescent="0.25">
      <c r="A536" s="2"/>
      <c r="B536" s="1"/>
      <c r="C536" s="22">
        <v>476</v>
      </c>
      <c r="D536" s="34">
        <f t="shared" si="39"/>
        <v>4.76</v>
      </c>
      <c r="E536" s="30">
        <f t="shared" si="36"/>
        <v>0</v>
      </c>
      <c r="F536" s="31">
        <f t="shared" si="37"/>
        <v>0</v>
      </c>
      <c r="G536" s="32">
        <f t="shared" si="38"/>
        <v>0.1260504201680672</v>
      </c>
      <c r="H536" s="34">
        <f t="shared" si="35"/>
        <v>0.1260504201680672</v>
      </c>
      <c r="I536" s="42"/>
      <c r="J536" s="38"/>
      <c r="K536" s="38"/>
      <c r="L536" s="1"/>
      <c r="M536" s="1"/>
      <c r="N536" s="1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40"/>
      <c r="AE536" s="40"/>
    </row>
    <row r="537" spans="1:31" x14ac:dyDescent="0.25">
      <c r="A537" s="2"/>
      <c r="B537" s="1"/>
      <c r="C537" s="22">
        <v>477</v>
      </c>
      <c r="D537" s="34">
        <f t="shared" si="39"/>
        <v>4.7700000000000005</v>
      </c>
      <c r="E537" s="30">
        <f t="shared" si="36"/>
        <v>0</v>
      </c>
      <c r="F537" s="31">
        <f t="shared" si="37"/>
        <v>0</v>
      </c>
      <c r="G537" s="32">
        <f t="shared" si="38"/>
        <v>0.12578616352201255</v>
      </c>
      <c r="H537" s="34">
        <f t="shared" si="35"/>
        <v>0.12578616352201255</v>
      </c>
      <c r="I537" s="42"/>
      <c r="J537" s="38"/>
      <c r="K537" s="38"/>
      <c r="L537" s="1"/>
      <c r="M537" s="1"/>
      <c r="N537" s="1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40"/>
      <c r="AE537" s="40"/>
    </row>
    <row r="538" spans="1:31" x14ac:dyDescent="0.25">
      <c r="A538" s="2"/>
      <c r="B538" s="1"/>
      <c r="C538" s="22">
        <v>478</v>
      </c>
      <c r="D538" s="34">
        <f t="shared" si="39"/>
        <v>4.78</v>
      </c>
      <c r="E538" s="30">
        <f t="shared" si="36"/>
        <v>0</v>
      </c>
      <c r="F538" s="31">
        <f t="shared" si="37"/>
        <v>0</v>
      </c>
      <c r="G538" s="32">
        <f t="shared" si="38"/>
        <v>0.12552301255230122</v>
      </c>
      <c r="H538" s="34">
        <f t="shared" si="35"/>
        <v>0.12552301255230122</v>
      </c>
      <c r="I538" s="42"/>
      <c r="J538" s="38"/>
      <c r="K538" s="38"/>
      <c r="L538" s="1"/>
      <c r="M538" s="1"/>
      <c r="N538" s="1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40"/>
      <c r="AE538" s="40"/>
    </row>
    <row r="539" spans="1:31" x14ac:dyDescent="0.25">
      <c r="A539" s="2"/>
      <c r="B539" s="1"/>
      <c r="C539" s="22">
        <v>479</v>
      </c>
      <c r="D539" s="34">
        <f t="shared" si="39"/>
        <v>4.79</v>
      </c>
      <c r="E539" s="30">
        <f t="shared" si="36"/>
        <v>0</v>
      </c>
      <c r="F539" s="31">
        <f t="shared" si="37"/>
        <v>0</v>
      </c>
      <c r="G539" s="32">
        <f t="shared" si="38"/>
        <v>0.1252609603340292</v>
      </c>
      <c r="H539" s="34">
        <f t="shared" si="35"/>
        <v>0.1252609603340292</v>
      </c>
      <c r="I539" s="42"/>
      <c r="J539" s="38"/>
      <c r="K539" s="38"/>
      <c r="L539" s="1"/>
      <c r="M539" s="1"/>
      <c r="N539" s="1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40"/>
      <c r="AE539" s="40"/>
    </row>
    <row r="540" spans="1:31" x14ac:dyDescent="0.25">
      <c r="A540" s="2"/>
      <c r="B540" s="1"/>
      <c r="C540" s="22">
        <v>480</v>
      </c>
      <c r="D540" s="34">
        <f t="shared" si="39"/>
        <v>4.8</v>
      </c>
      <c r="E540" s="30">
        <f t="shared" si="36"/>
        <v>0</v>
      </c>
      <c r="F540" s="31">
        <f t="shared" si="37"/>
        <v>0</v>
      </c>
      <c r="G540" s="32">
        <f t="shared" si="38"/>
        <v>0.12499999999999997</v>
      </c>
      <c r="H540" s="34">
        <f t="shared" si="35"/>
        <v>0.12499999999999997</v>
      </c>
      <c r="I540" s="42"/>
      <c r="J540" s="38"/>
      <c r="K540" s="38"/>
      <c r="L540" s="1"/>
      <c r="M540" s="1"/>
      <c r="N540" s="1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40"/>
      <c r="AE540" s="40"/>
    </row>
    <row r="541" spans="1:31" x14ac:dyDescent="0.25">
      <c r="A541" s="2"/>
      <c r="B541" s="1"/>
      <c r="C541" s="22">
        <v>481</v>
      </c>
      <c r="D541" s="34">
        <f t="shared" si="39"/>
        <v>4.8100000000000005</v>
      </c>
      <c r="E541" s="30">
        <f t="shared" si="36"/>
        <v>0</v>
      </c>
      <c r="F541" s="31">
        <f t="shared" si="37"/>
        <v>0</v>
      </c>
      <c r="G541" s="32">
        <f t="shared" si="38"/>
        <v>0.12474012474012471</v>
      </c>
      <c r="H541" s="34">
        <f t="shared" si="35"/>
        <v>0.12474012474012471</v>
      </c>
      <c r="I541" s="42"/>
      <c r="J541" s="38"/>
      <c r="K541" s="38"/>
      <c r="L541" s="1"/>
      <c r="M541" s="1"/>
      <c r="N541" s="1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40"/>
      <c r="AE541" s="40"/>
    </row>
    <row r="542" spans="1:31" x14ac:dyDescent="0.25">
      <c r="A542" s="2"/>
      <c r="B542" s="1"/>
      <c r="C542" s="22">
        <v>482</v>
      </c>
      <c r="D542" s="34">
        <f t="shared" si="39"/>
        <v>4.82</v>
      </c>
      <c r="E542" s="30">
        <f t="shared" si="36"/>
        <v>0</v>
      </c>
      <c r="F542" s="31">
        <f t="shared" si="37"/>
        <v>0</v>
      </c>
      <c r="G542" s="32">
        <f t="shared" si="38"/>
        <v>0.12448132780082984</v>
      </c>
      <c r="H542" s="34">
        <f t="shared" si="35"/>
        <v>0.12448132780082984</v>
      </c>
      <c r="I542" s="42"/>
      <c r="J542" s="38"/>
      <c r="K542" s="38"/>
      <c r="L542" s="1"/>
      <c r="M542" s="1"/>
      <c r="N542" s="1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40"/>
      <c r="AE542" s="40"/>
    </row>
    <row r="543" spans="1:31" x14ac:dyDescent="0.25">
      <c r="A543" s="2"/>
      <c r="B543" s="1"/>
      <c r="C543" s="22">
        <v>483</v>
      </c>
      <c r="D543" s="34">
        <f t="shared" si="39"/>
        <v>4.83</v>
      </c>
      <c r="E543" s="30">
        <f t="shared" si="36"/>
        <v>0</v>
      </c>
      <c r="F543" s="31">
        <f t="shared" si="37"/>
        <v>0</v>
      </c>
      <c r="G543" s="32">
        <f t="shared" si="38"/>
        <v>0.12422360248447202</v>
      </c>
      <c r="H543" s="34">
        <f t="shared" si="35"/>
        <v>0.12422360248447202</v>
      </c>
      <c r="I543" s="42"/>
      <c r="J543" s="38"/>
      <c r="K543" s="38"/>
      <c r="L543" s="1"/>
      <c r="M543" s="1"/>
      <c r="N543" s="1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40"/>
      <c r="AE543" s="40"/>
    </row>
    <row r="544" spans="1:31" x14ac:dyDescent="0.25">
      <c r="A544" s="2"/>
      <c r="B544" s="1"/>
      <c r="C544" s="22">
        <v>484</v>
      </c>
      <c r="D544" s="34">
        <f t="shared" si="39"/>
        <v>4.84</v>
      </c>
      <c r="E544" s="30">
        <f t="shared" si="36"/>
        <v>0</v>
      </c>
      <c r="F544" s="31">
        <f t="shared" si="37"/>
        <v>0</v>
      </c>
      <c r="G544" s="32">
        <f t="shared" si="38"/>
        <v>0.12396694214876031</v>
      </c>
      <c r="H544" s="34">
        <f t="shared" si="35"/>
        <v>0.12396694214876031</v>
      </c>
      <c r="I544" s="42"/>
      <c r="J544" s="38"/>
      <c r="K544" s="38"/>
      <c r="L544" s="1"/>
      <c r="M544" s="1"/>
      <c r="N544" s="1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40"/>
      <c r="AE544" s="40"/>
    </row>
    <row r="545" spans="1:31" x14ac:dyDescent="0.25">
      <c r="A545" s="2"/>
      <c r="B545" s="1"/>
      <c r="C545" s="22">
        <v>485</v>
      </c>
      <c r="D545" s="34">
        <f t="shared" si="39"/>
        <v>4.8500000000000005</v>
      </c>
      <c r="E545" s="30">
        <f t="shared" si="36"/>
        <v>0</v>
      </c>
      <c r="F545" s="31">
        <f t="shared" si="37"/>
        <v>0</v>
      </c>
      <c r="G545" s="32">
        <f t="shared" si="38"/>
        <v>0.12371134020618553</v>
      </c>
      <c r="H545" s="34">
        <f t="shared" ref="H545:H608" si="40">SUM(E545:G545)</f>
        <v>0.12371134020618553</v>
      </c>
      <c r="I545" s="42"/>
      <c r="J545" s="38"/>
      <c r="K545" s="38"/>
      <c r="L545" s="1"/>
      <c r="M545" s="1"/>
      <c r="N545" s="1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40"/>
      <c r="AE545" s="40"/>
    </row>
    <row r="546" spans="1:31" x14ac:dyDescent="0.25">
      <c r="A546" s="2"/>
      <c r="B546" s="1"/>
      <c r="C546" s="22">
        <v>486</v>
      </c>
      <c r="D546" s="34">
        <f t="shared" si="39"/>
        <v>4.8600000000000003</v>
      </c>
      <c r="E546" s="30">
        <f t="shared" si="36"/>
        <v>0</v>
      </c>
      <c r="F546" s="31">
        <f t="shared" si="37"/>
        <v>0</v>
      </c>
      <c r="G546" s="32">
        <f t="shared" si="38"/>
        <v>0.12345679012345676</v>
      </c>
      <c r="H546" s="34">
        <f t="shared" si="40"/>
        <v>0.12345679012345676</v>
      </c>
      <c r="I546" s="42"/>
      <c r="J546" s="38"/>
      <c r="K546" s="38"/>
      <c r="L546" s="1"/>
      <c r="M546" s="1"/>
      <c r="N546" s="1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40"/>
      <c r="AE546" s="40"/>
    </row>
    <row r="547" spans="1:31" x14ac:dyDescent="0.25">
      <c r="A547" s="2"/>
      <c r="B547" s="1"/>
      <c r="C547" s="22">
        <v>487</v>
      </c>
      <c r="D547" s="34">
        <f t="shared" si="39"/>
        <v>4.87</v>
      </c>
      <c r="E547" s="30">
        <f t="shared" si="36"/>
        <v>0</v>
      </c>
      <c r="F547" s="31">
        <f t="shared" si="37"/>
        <v>0</v>
      </c>
      <c r="G547" s="32">
        <f t="shared" si="38"/>
        <v>0.12320328542094452</v>
      </c>
      <c r="H547" s="34">
        <f t="shared" si="40"/>
        <v>0.12320328542094452</v>
      </c>
      <c r="I547" s="42"/>
      <c r="J547" s="38"/>
      <c r="K547" s="38"/>
      <c r="L547" s="1"/>
      <c r="M547" s="1"/>
      <c r="N547" s="1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40"/>
      <c r="AE547" s="40"/>
    </row>
    <row r="548" spans="1:31" x14ac:dyDescent="0.25">
      <c r="A548" s="2"/>
      <c r="B548" s="1"/>
      <c r="C548" s="22">
        <v>488</v>
      </c>
      <c r="D548" s="34">
        <f t="shared" si="39"/>
        <v>4.88</v>
      </c>
      <c r="E548" s="30">
        <f t="shared" si="36"/>
        <v>0</v>
      </c>
      <c r="F548" s="31">
        <f t="shared" si="37"/>
        <v>0</v>
      </c>
      <c r="G548" s="32">
        <f t="shared" si="38"/>
        <v>0.12295081967213112</v>
      </c>
      <c r="H548" s="34">
        <f t="shared" si="40"/>
        <v>0.12295081967213112</v>
      </c>
      <c r="I548" s="42"/>
      <c r="J548" s="38"/>
      <c r="K548" s="38"/>
      <c r="L548" s="1"/>
      <c r="M548" s="1"/>
      <c r="N548" s="1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40"/>
      <c r="AE548" s="40"/>
    </row>
    <row r="549" spans="1:31" x14ac:dyDescent="0.25">
      <c r="A549" s="2"/>
      <c r="B549" s="1"/>
      <c r="C549" s="22">
        <v>489</v>
      </c>
      <c r="D549" s="34">
        <f t="shared" si="39"/>
        <v>4.8899999999999997</v>
      </c>
      <c r="E549" s="30">
        <f t="shared" si="36"/>
        <v>0</v>
      </c>
      <c r="F549" s="31">
        <f t="shared" si="37"/>
        <v>0</v>
      </c>
      <c r="G549" s="32">
        <f t="shared" si="38"/>
        <v>0.12269938650306747</v>
      </c>
      <c r="H549" s="34">
        <f t="shared" si="40"/>
        <v>0.12269938650306747</v>
      </c>
      <c r="I549" s="42"/>
      <c r="J549" s="38"/>
      <c r="K549" s="38"/>
      <c r="L549" s="1"/>
      <c r="M549" s="1"/>
      <c r="N549" s="1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40"/>
      <c r="AE549" s="40"/>
    </row>
    <row r="550" spans="1:31" x14ac:dyDescent="0.25">
      <c r="A550" s="2"/>
      <c r="B550" s="1"/>
      <c r="C550" s="22">
        <v>490</v>
      </c>
      <c r="D550" s="34">
        <f t="shared" si="39"/>
        <v>4.9000000000000004</v>
      </c>
      <c r="E550" s="30">
        <f t="shared" si="36"/>
        <v>0</v>
      </c>
      <c r="F550" s="31">
        <f t="shared" si="37"/>
        <v>0</v>
      </c>
      <c r="G550" s="32">
        <f t="shared" si="38"/>
        <v>0.1224489795918367</v>
      </c>
      <c r="H550" s="34">
        <f t="shared" si="40"/>
        <v>0.1224489795918367</v>
      </c>
      <c r="I550" s="42"/>
      <c r="J550" s="38"/>
      <c r="K550" s="38"/>
      <c r="L550" s="1"/>
      <c r="M550" s="1"/>
      <c r="N550" s="1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40"/>
      <c r="AE550" s="40"/>
    </row>
    <row r="551" spans="1:31" x14ac:dyDescent="0.25">
      <c r="A551" s="2"/>
      <c r="B551" s="1"/>
      <c r="C551" s="22">
        <v>491</v>
      </c>
      <c r="D551" s="34">
        <f t="shared" si="39"/>
        <v>4.91</v>
      </c>
      <c r="E551" s="30">
        <f t="shared" si="36"/>
        <v>0</v>
      </c>
      <c r="F551" s="31">
        <f t="shared" si="37"/>
        <v>0</v>
      </c>
      <c r="G551" s="32">
        <f t="shared" si="38"/>
        <v>0.12219959266802441</v>
      </c>
      <c r="H551" s="34">
        <f t="shared" si="40"/>
        <v>0.12219959266802441</v>
      </c>
      <c r="I551" s="42"/>
      <c r="J551" s="38"/>
      <c r="K551" s="38"/>
      <c r="L551" s="1"/>
      <c r="M551" s="1"/>
      <c r="N551" s="1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40"/>
      <c r="AE551" s="40"/>
    </row>
    <row r="552" spans="1:31" x14ac:dyDescent="0.25">
      <c r="A552" s="2"/>
      <c r="B552" s="1"/>
      <c r="C552" s="22">
        <v>492</v>
      </c>
      <c r="D552" s="34">
        <f t="shared" si="39"/>
        <v>4.92</v>
      </c>
      <c r="E552" s="30">
        <f t="shared" si="36"/>
        <v>0</v>
      </c>
      <c r="F552" s="31">
        <f t="shared" si="37"/>
        <v>0</v>
      </c>
      <c r="G552" s="32">
        <f t="shared" si="38"/>
        <v>0.12195121951219509</v>
      </c>
      <c r="H552" s="34">
        <f t="shared" si="40"/>
        <v>0.12195121951219509</v>
      </c>
      <c r="I552" s="42"/>
      <c r="J552" s="38"/>
      <c r="K552" s="38"/>
      <c r="L552" s="1"/>
      <c r="M552" s="1"/>
      <c r="N552" s="1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40"/>
      <c r="AE552" s="40"/>
    </row>
    <row r="553" spans="1:31" x14ac:dyDescent="0.25">
      <c r="A553" s="2"/>
      <c r="B553" s="1"/>
      <c r="C553" s="22">
        <v>493</v>
      </c>
      <c r="D553" s="34">
        <f t="shared" si="39"/>
        <v>4.93</v>
      </c>
      <c r="E553" s="30">
        <f t="shared" si="36"/>
        <v>0</v>
      </c>
      <c r="F553" s="31">
        <f t="shared" si="37"/>
        <v>0</v>
      </c>
      <c r="G553" s="32">
        <f t="shared" si="38"/>
        <v>0.12170385395537524</v>
      </c>
      <c r="H553" s="34">
        <f t="shared" si="40"/>
        <v>0.12170385395537524</v>
      </c>
      <c r="I553" s="42"/>
      <c r="J553" s="38"/>
      <c r="K553" s="38"/>
      <c r="L553" s="1"/>
      <c r="M553" s="1"/>
      <c r="N553" s="1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40"/>
      <c r="AE553" s="40"/>
    </row>
    <row r="554" spans="1:31" x14ac:dyDescent="0.25">
      <c r="A554" s="2"/>
      <c r="B554" s="1"/>
      <c r="C554" s="22">
        <v>494</v>
      </c>
      <c r="D554" s="34">
        <f t="shared" si="39"/>
        <v>4.9400000000000004</v>
      </c>
      <c r="E554" s="30">
        <f t="shared" si="36"/>
        <v>0</v>
      </c>
      <c r="F554" s="31">
        <f t="shared" si="37"/>
        <v>0</v>
      </c>
      <c r="G554" s="32">
        <f t="shared" si="38"/>
        <v>0.12145748987854248</v>
      </c>
      <c r="H554" s="34">
        <f t="shared" si="40"/>
        <v>0.12145748987854248</v>
      </c>
      <c r="I554" s="42"/>
      <c r="J554" s="38"/>
      <c r="K554" s="38"/>
      <c r="L554" s="1"/>
      <c r="M554" s="1"/>
      <c r="N554" s="1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40"/>
      <c r="AE554" s="40"/>
    </row>
    <row r="555" spans="1:31" x14ac:dyDescent="0.25">
      <c r="A555" s="2"/>
      <c r="B555" s="1"/>
      <c r="C555" s="22">
        <v>495</v>
      </c>
      <c r="D555" s="34">
        <f t="shared" si="39"/>
        <v>4.95</v>
      </c>
      <c r="E555" s="30">
        <f t="shared" si="36"/>
        <v>0</v>
      </c>
      <c r="F555" s="31">
        <f t="shared" si="37"/>
        <v>0</v>
      </c>
      <c r="G555" s="32">
        <f t="shared" si="38"/>
        <v>0.12121212121212119</v>
      </c>
      <c r="H555" s="34">
        <f t="shared" si="40"/>
        <v>0.12121212121212119</v>
      </c>
      <c r="I555" s="42"/>
      <c r="J555" s="38"/>
      <c r="K555" s="38"/>
      <c r="L555" s="1"/>
      <c r="M555" s="1"/>
      <c r="N555" s="1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40"/>
      <c r="AE555" s="40"/>
    </row>
    <row r="556" spans="1:31" x14ac:dyDescent="0.25">
      <c r="A556" s="2"/>
      <c r="B556" s="1"/>
      <c r="C556" s="22">
        <v>496</v>
      </c>
      <c r="D556" s="34">
        <f t="shared" si="39"/>
        <v>4.96</v>
      </c>
      <c r="E556" s="30">
        <f t="shared" si="36"/>
        <v>0</v>
      </c>
      <c r="F556" s="31">
        <f t="shared" si="37"/>
        <v>0</v>
      </c>
      <c r="G556" s="32">
        <f t="shared" si="38"/>
        <v>0.12096774193548385</v>
      </c>
      <c r="H556" s="34">
        <f t="shared" si="40"/>
        <v>0.12096774193548385</v>
      </c>
      <c r="I556" s="42"/>
      <c r="J556" s="38"/>
      <c r="K556" s="38"/>
      <c r="L556" s="1"/>
      <c r="M556" s="1"/>
      <c r="N556" s="1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40"/>
      <c r="AE556" s="40"/>
    </row>
    <row r="557" spans="1:31" x14ac:dyDescent="0.25">
      <c r="A557" s="2"/>
      <c r="B557" s="1"/>
      <c r="C557" s="22">
        <v>497</v>
      </c>
      <c r="D557" s="34">
        <f t="shared" si="39"/>
        <v>4.97</v>
      </c>
      <c r="E557" s="30">
        <f t="shared" si="36"/>
        <v>0</v>
      </c>
      <c r="F557" s="31">
        <f t="shared" si="37"/>
        <v>0</v>
      </c>
      <c r="G557" s="32">
        <f t="shared" si="38"/>
        <v>0.12072434607645874</v>
      </c>
      <c r="H557" s="34">
        <f t="shared" si="40"/>
        <v>0.12072434607645874</v>
      </c>
      <c r="I557" s="42"/>
      <c r="J557" s="38"/>
      <c r="K557" s="38"/>
      <c r="L557" s="1"/>
      <c r="M557" s="1"/>
      <c r="N557" s="1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40"/>
      <c r="AE557" s="40"/>
    </row>
    <row r="558" spans="1:31" x14ac:dyDescent="0.25">
      <c r="A558" s="2"/>
      <c r="B558" s="1"/>
      <c r="C558" s="22">
        <v>498</v>
      </c>
      <c r="D558" s="34">
        <f t="shared" si="39"/>
        <v>4.9800000000000004</v>
      </c>
      <c r="E558" s="30">
        <f t="shared" si="36"/>
        <v>0</v>
      </c>
      <c r="F558" s="31">
        <f t="shared" si="37"/>
        <v>0</v>
      </c>
      <c r="G558" s="32">
        <f t="shared" si="38"/>
        <v>0.12048192771084333</v>
      </c>
      <c r="H558" s="34">
        <f t="shared" si="40"/>
        <v>0.12048192771084333</v>
      </c>
      <c r="I558" s="42"/>
      <c r="J558" s="38"/>
      <c r="K558" s="38"/>
      <c r="L558" s="1"/>
      <c r="M558" s="1"/>
      <c r="N558" s="1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40"/>
      <c r="AE558" s="40"/>
    </row>
    <row r="559" spans="1:31" x14ac:dyDescent="0.25">
      <c r="A559" s="2"/>
      <c r="B559" s="1"/>
      <c r="C559" s="22">
        <v>499</v>
      </c>
      <c r="D559" s="34">
        <f t="shared" si="39"/>
        <v>4.99</v>
      </c>
      <c r="E559" s="30">
        <f t="shared" si="36"/>
        <v>0</v>
      </c>
      <c r="F559" s="31">
        <f t="shared" si="37"/>
        <v>0</v>
      </c>
      <c r="G559" s="32">
        <f t="shared" si="38"/>
        <v>0.12024048096192382</v>
      </c>
      <c r="H559" s="34">
        <f t="shared" si="40"/>
        <v>0.12024048096192382</v>
      </c>
      <c r="I559" s="42"/>
      <c r="J559" s="38"/>
      <c r="K559" s="38"/>
      <c r="L559" s="1"/>
      <c r="M559" s="1"/>
      <c r="N559" s="1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40"/>
      <c r="AE559" s="40"/>
    </row>
    <row r="560" spans="1:31" x14ac:dyDescent="0.25">
      <c r="A560" s="2"/>
      <c r="B560" s="1"/>
      <c r="C560" s="22">
        <v>500</v>
      </c>
      <c r="D560" s="34">
        <f t="shared" si="39"/>
        <v>5</v>
      </c>
      <c r="E560" s="30">
        <f t="shared" si="36"/>
        <v>0</v>
      </c>
      <c r="F560" s="31">
        <f t="shared" si="37"/>
        <v>0</v>
      </c>
      <c r="G560" s="32">
        <f t="shared" si="38"/>
        <v>0.11999999999999997</v>
      </c>
      <c r="H560" s="34">
        <f t="shared" si="40"/>
        <v>0.11999999999999997</v>
      </c>
      <c r="I560" s="42"/>
      <c r="J560" s="38"/>
      <c r="K560" s="38"/>
      <c r="L560" s="1"/>
      <c r="M560" s="1"/>
      <c r="N560" s="1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40"/>
      <c r="AE560" s="40"/>
    </row>
    <row r="561" spans="1:31" x14ac:dyDescent="0.25">
      <c r="A561" s="2"/>
      <c r="B561" s="1"/>
      <c r="C561" s="22">
        <v>501</v>
      </c>
      <c r="D561" s="34">
        <f t="shared" si="39"/>
        <v>5.01</v>
      </c>
      <c r="E561" s="30">
        <f t="shared" si="36"/>
        <v>0</v>
      </c>
      <c r="F561" s="31">
        <f t="shared" si="37"/>
        <v>0</v>
      </c>
      <c r="G561" s="32">
        <f t="shared" si="38"/>
        <v>0.11976047904191614</v>
      </c>
      <c r="H561" s="34">
        <f t="shared" si="40"/>
        <v>0.11976047904191614</v>
      </c>
      <c r="I561" s="42"/>
      <c r="J561" s="38"/>
      <c r="K561" s="38"/>
      <c r="L561" s="1"/>
      <c r="M561" s="1"/>
      <c r="N561" s="1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40"/>
      <c r="AE561" s="40"/>
    </row>
    <row r="562" spans="1:31" x14ac:dyDescent="0.25">
      <c r="A562" s="2"/>
      <c r="B562" s="1"/>
      <c r="C562" s="22">
        <v>502</v>
      </c>
      <c r="D562" s="34">
        <f t="shared" si="39"/>
        <v>5.0200000000000005</v>
      </c>
      <c r="E562" s="30">
        <f t="shared" si="36"/>
        <v>0</v>
      </c>
      <c r="F562" s="31">
        <f t="shared" si="37"/>
        <v>0</v>
      </c>
      <c r="G562" s="32">
        <f t="shared" si="38"/>
        <v>0.11952191235059757</v>
      </c>
      <c r="H562" s="34">
        <f t="shared" si="40"/>
        <v>0.11952191235059757</v>
      </c>
      <c r="I562" s="42"/>
      <c r="J562" s="38"/>
      <c r="K562" s="38"/>
      <c r="L562" s="1"/>
      <c r="M562" s="1"/>
      <c r="N562" s="1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40"/>
      <c r="AE562" s="40"/>
    </row>
    <row r="563" spans="1:31" x14ac:dyDescent="0.25">
      <c r="A563" s="2"/>
      <c r="B563" s="1"/>
      <c r="C563" s="22">
        <v>503</v>
      </c>
      <c r="D563" s="34">
        <f t="shared" si="39"/>
        <v>5.03</v>
      </c>
      <c r="E563" s="30">
        <f t="shared" si="36"/>
        <v>0</v>
      </c>
      <c r="F563" s="31">
        <f t="shared" si="37"/>
        <v>0</v>
      </c>
      <c r="G563" s="32">
        <f t="shared" si="38"/>
        <v>0.11928429423459241</v>
      </c>
      <c r="H563" s="34">
        <f t="shared" si="40"/>
        <v>0.11928429423459241</v>
      </c>
      <c r="I563" s="42"/>
      <c r="J563" s="38"/>
      <c r="K563" s="38"/>
      <c r="L563" s="1"/>
      <c r="M563" s="1"/>
      <c r="N563" s="1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40"/>
      <c r="AE563" s="40"/>
    </row>
    <row r="564" spans="1:31" x14ac:dyDescent="0.25">
      <c r="A564" s="2"/>
      <c r="B564" s="1"/>
      <c r="C564" s="22">
        <v>504</v>
      </c>
      <c r="D564" s="34">
        <f t="shared" si="39"/>
        <v>5.04</v>
      </c>
      <c r="E564" s="30">
        <f t="shared" si="36"/>
        <v>0</v>
      </c>
      <c r="F564" s="31">
        <f t="shared" si="37"/>
        <v>0</v>
      </c>
      <c r="G564" s="32">
        <f t="shared" si="38"/>
        <v>0.11904761904761903</v>
      </c>
      <c r="H564" s="34">
        <f t="shared" si="40"/>
        <v>0.11904761904761903</v>
      </c>
      <c r="I564" s="42"/>
      <c r="J564" s="38"/>
      <c r="K564" s="38"/>
      <c r="L564" s="1"/>
      <c r="M564" s="1"/>
      <c r="N564" s="1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40"/>
      <c r="AE564" s="40"/>
    </row>
    <row r="565" spans="1:31" x14ac:dyDescent="0.25">
      <c r="A565" s="2"/>
      <c r="B565" s="1"/>
      <c r="C565" s="22">
        <v>505</v>
      </c>
      <c r="D565" s="34">
        <f t="shared" si="39"/>
        <v>5.05</v>
      </c>
      <c r="E565" s="30">
        <f t="shared" si="36"/>
        <v>0</v>
      </c>
      <c r="F565" s="31">
        <f t="shared" si="37"/>
        <v>0</v>
      </c>
      <c r="G565" s="32">
        <f t="shared" si="38"/>
        <v>0.11881188118811879</v>
      </c>
      <c r="H565" s="34">
        <f t="shared" si="40"/>
        <v>0.11881188118811879</v>
      </c>
      <c r="I565" s="42"/>
      <c r="J565" s="38"/>
      <c r="K565" s="38"/>
      <c r="L565" s="1"/>
      <c r="M565" s="1"/>
      <c r="N565" s="1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40"/>
      <c r="AE565" s="40"/>
    </row>
    <row r="566" spans="1:31" x14ac:dyDescent="0.25">
      <c r="A566" s="2"/>
      <c r="B566" s="1"/>
      <c r="C566" s="22">
        <v>506</v>
      </c>
      <c r="D566" s="34">
        <f t="shared" si="39"/>
        <v>5.0600000000000005</v>
      </c>
      <c r="E566" s="30">
        <f t="shared" si="36"/>
        <v>0</v>
      </c>
      <c r="F566" s="31">
        <f t="shared" si="37"/>
        <v>0</v>
      </c>
      <c r="G566" s="32">
        <f t="shared" si="38"/>
        <v>0.1185770750988142</v>
      </c>
      <c r="H566" s="34">
        <f t="shared" si="40"/>
        <v>0.1185770750988142</v>
      </c>
      <c r="I566" s="42"/>
      <c r="J566" s="38"/>
      <c r="K566" s="38"/>
      <c r="L566" s="1"/>
      <c r="M566" s="1"/>
      <c r="N566" s="1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40"/>
      <c r="AE566" s="40"/>
    </row>
    <row r="567" spans="1:31" x14ac:dyDescent="0.25">
      <c r="A567" s="2"/>
      <c r="B567" s="1"/>
      <c r="C567" s="22">
        <v>507</v>
      </c>
      <c r="D567" s="34">
        <f t="shared" si="39"/>
        <v>5.07</v>
      </c>
      <c r="E567" s="30">
        <f t="shared" si="36"/>
        <v>0</v>
      </c>
      <c r="F567" s="31">
        <f t="shared" si="37"/>
        <v>0</v>
      </c>
      <c r="G567" s="32">
        <f t="shared" si="38"/>
        <v>0.11834319526627216</v>
      </c>
      <c r="H567" s="34">
        <f t="shared" si="40"/>
        <v>0.11834319526627216</v>
      </c>
      <c r="I567" s="42"/>
      <c r="J567" s="38"/>
      <c r="K567" s="38"/>
      <c r="L567" s="1"/>
      <c r="M567" s="1"/>
      <c r="N567" s="1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40"/>
      <c r="AE567" s="40"/>
    </row>
    <row r="568" spans="1:31" x14ac:dyDescent="0.25">
      <c r="A568" s="2"/>
      <c r="B568" s="1"/>
      <c r="C568" s="22">
        <v>508</v>
      </c>
      <c r="D568" s="34">
        <f t="shared" si="39"/>
        <v>5.08</v>
      </c>
      <c r="E568" s="30">
        <f t="shared" si="36"/>
        <v>0</v>
      </c>
      <c r="F568" s="31">
        <f t="shared" si="37"/>
        <v>0</v>
      </c>
      <c r="G568" s="32">
        <f t="shared" si="38"/>
        <v>0.11811023622047241</v>
      </c>
      <c r="H568" s="34">
        <f t="shared" si="40"/>
        <v>0.11811023622047241</v>
      </c>
      <c r="I568" s="42"/>
      <c r="J568" s="38"/>
      <c r="K568" s="38"/>
      <c r="L568" s="1"/>
      <c r="M568" s="1"/>
      <c r="N568" s="1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40"/>
      <c r="AE568" s="40"/>
    </row>
    <row r="569" spans="1:31" x14ac:dyDescent="0.25">
      <c r="A569" s="2"/>
      <c r="B569" s="1"/>
      <c r="C569" s="22">
        <v>509</v>
      </c>
      <c r="D569" s="34">
        <f t="shared" si="39"/>
        <v>5.09</v>
      </c>
      <c r="E569" s="30">
        <f t="shared" si="36"/>
        <v>0</v>
      </c>
      <c r="F569" s="31">
        <f t="shared" si="37"/>
        <v>0</v>
      </c>
      <c r="G569" s="32">
        <f t="shared" si="38"/>
        <v>0.11787819253438112</v>
      </c>
      <c r="H569" s="34">
        <f t="shared" si="40"/>
        <v>0.11787819253438112</v>
      </c>
      <c r="I569" s="42"/>
      <c r="J569" s="38"/>
      <c r="K569" s="38"/>
      <c r="L569" s="1"/>
      <c r="M569" s="1"/>
      <c r="N569" s="1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40"/>
      <c r="AE569" s="40"/>
    </row>
    <row r="570" spans="1:31" x14ac:dyDescent="0.25">
      <c r="A570" s="2"/>
      <c r="B570" s="1"/>
      <c r="C570" s="22">
        <v>510</v>
      </c>
      <c r="D570" s="34">
        <f t="shared" si="39"/>
        <v>5.1000000000000005</v>
      </c>
      <c r="E570" s="30">
        <f t="shared" si="36"/>
        <v>0</v>
      </c>
      <c r="F570" s="31">
        <f t="shared" si="37"/>
        <v>0</v>
      </c>
      <c r="G570" s="32">
        <f t="shared" si="38"/>
        <v>0.11764705882352937</v>
      </c>
      <c r="H570" s="34">
        <f t="shared" si="40"/>
        <v>0.11764705882352937</v>
      </c>
      <c r="I570" s="42"/>
      <c r="J570" s="38"/>
      <c r="K570" s="38"/>
      <c r="L570" s="1"/>
      <c r="M570" s="1"/>
      <c r="N570" s="1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40"/>
      <c r="AE570" s="40"/>
    </row>
    <row r="571" spans="1:31" x14ac:dyDescent="0.25">
      <c r="A571" s="2"/>
      <c r="B571" s="1"/>
      <c r="C571" s="22">
        <v>511</v>
      </c>
      <c r="D571" s="34">
        <f t="shared" si="39"/>
        <v>5.1100000000000003</v>
      </c>
      <c r="E571" s="30">
        <f t="shared" si="36"/>
        <v>0</v>
      </c>
      <c r="F571" s="31">
        <f t="shared" si="37"/>
        <v>0</v>
      </c>
      <c r="G571" s="32">
        <f t="shared" si="38"/>
        <v>0.11741682974559683</v>
      </c>
      <c r="H571" s="34">
        <f t="shared" si="40"/>
        <v>0.11741682974559683</v>
      </c>
      <c r="I571" s="42"/>
      <c r="J571" s="38"/>
      <c r="K571" s="38"/>
      <c r="L571" s="1"/>
      <c r="M571" s="1"/>
      <c r="N571" s="1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40"/>
      <c r="AE571" s="40"/>
    </row>
    <row r="572" spans="1:31" x14ac:dyDescent="0.25">
      <c r="A572" s="2"/>
      <c r="B572" s="1"/>
      <c r="C572" s="22">
        <v>512</v>
      </c>
      <c r="D572" s="34">
        <f t="shared" si="39"/>
        <v>5.12</v>
      </c>
      <c r="E572" s="30">
        <f t="shared" ref="E572:E635" si="41">IF(D572&lt;$C$25,0.4+5*D572,0)</f>
        <v>0</v>
      </c>
      <c r="F572" s="31">
        <f t="shared" ref="F572:F635" si="42">IF(AND(D572&gt;=$C$25,D572&lt;=$C$26),$C$12,0)</f>
        <v>0</v>
      </c>
      <c r="G572" s="32">
        <f t="shared" ref="G572:G635" si="43">IF(D572&gt;$C$26,$C$13/D572,0)</f>
        <v>0.11718749999999997</v>
      </c>
      <c r="H572" s="34">
        <f t="shared" si="40"/>
        <v>0.11718749999999997</v>
      </c>
      <c r="I572" s="42"/>
      <c r="J572" s="38"/>
      <c r="K572" s="38"/>
      <c r="L572" s="1"/>
      <c r="M572" s="1"/>
      <c r="N572" s="1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40"/>
      <c r="AE572" s="40"/>
    </row>
    <row r="573" spans="1:31" x14ac:dyDescent="0.25">
      <c r="A573" s="2"/>
      <c r="B573" s="1"/>
      <c r="C573" s="22">
        <v>513</v>
      </c>
      <c r="D573" s="34">
        <f t="shared" ref="D573:D636" si="44">$D$55*C573</f>
        <v>5.13</v>
      </c>
      <c r="E573" s="30">
        <f t="shared" si="41"/>
        <v>0</v>
      </c>
      <c r="F573" s="31">
        <f t="shared" si="42"/>
        <v>0</v>
      </c>
      <c r="G573" s="32">
        <f t="shared" si="43"/>
        <v>0.11695906432748536</v>
      </c>
      <c r="H573" s="34">
        <f t="shared" si="40"/>
        <v>0.11695906432748536</v>
      </c>
      <c r="I573" s="42"/>
      <c r="J573" s="38"/>
      <c r="K573" s="38"/>
      <c r="L573" s="1"/>
      <c r="M573" s="1"/>
      <c r="N573" s="1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40"/>
      <c r="AE573" s="40"/>
    </row>
    <row r="574" spans="1:31" x14ac:dyDescent="0.25">
      <c r="A574" s="2"/>
      <c r="B574" s="1"/>
      <c r="C574" s="22">
        <v>514</v>
      </c>
      <c r="D574" s="34">
        <f t="shared" si="44"/>
        <v>5.14</v>
      </c>
      <c r="E574" s="30">
        <f t="shared" si="41"/>
        <v>0</v>
      </c>
      <c r="F574" s="31">
        <f t="shared" si="42"/>
        <v>0</v>
      </c>
      <c r="G574" s="32">
        <f t="shared" si="43"/>
        <v>0.11673151750972761</v>
      </c>
      <c r="H574" s="34">
        <f t="shared" si="40"/>
        <v>0.11673151750972761</v>
      </c>
      <c r="I574" s="42"/>
      <c r="J574" s="38"/>
      <c r="K574" s="38"/>
      <c r="L574" s="1"/>
      <c r="M574" s="1"/>
      <c r="N574" s="1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40"/>
      <c r="AE574" s="40"/>
    </row>
    <row r="575" spans="1:31" x14ac:dyDescent="0.25">
      <c r="A575" s="2"/>
      <c r="B575" s="1"/>
      <c r="C575" s="22">
        <v>515</v>
      </c>
      <c r="D575" s="34">
        <f t="shared" si="44"/>
        <v>5.15</v>
      </c>
      <c r="E575" s="30">
        <f t="shared" si="41"/>
        <v>0</v>
      </c>
      <c r="F575" s="31">
        <f t="shared" si="42"/>
        <v>0</v>
      </c>
      <c r="G575" s="32">
        <f t="shared" si="43"/>
        <v>0.116504854368932</v>
      </c>
      <c r="H575" s="34">
        <f t="shared" si="40"/>
        <v>0.116504854368932</v>
      </c>
      <c r="I575" s="42"/>
      <c r="J575" s="38"/>
      <c r="K575" s="38"/>
      <c r="L575" s="1"/>
      <c r="M575" s="1"/>
      <c r="N575" s="1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40"/>
      <c r="AE575" s="40"/>
    </row>
    <row r="576" spans="1:31" x14ac:dyDescent="0.25">
      <c r="A576" s="2"/>
      <c r="B576" s="1"/>
      <c r="C576" s="22">
        <v>516</v>
      </c>
      <c r="D576" s="34">
        <f t="shared" si="44"/>
        <v>5.16</v>
      </c>
      <c r="E576" s="30">
        <f t="shared" si="41"/>
        <v>0</v>
      </c>
      <c r="F576" s="31">
        <f t="shared" si="42"/>
        <v>0</v>
      </c>
      <c r="G576" s="32">
        <f t="shared" si="43"/>
        <v>0.11627906976744183</v>
      </c>
      <c r="H576" s="34">
        <f t="shared" si="40"/>
        <v>0.11627906976744183</v>
      </c>
      <c r="I576" s="42"/>
      <c r="J576" s="38"/>
      <c r="K576" s="38"/>
      <c r="L576" s="1"/>
      <c r="M576" s="1"/>
      <c r="N576" s="1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40"/>
      <c r="AE576" s="40"/>
    </row>
    <row r="577" spans="1:31" x14ac:dyDescent="0.25">
      <c r="A577" s="2"/>
      <c r="B577" s="1"/>
      <c r="C577" s="22">
        <v>517</v>
      </c>
      <c r="D577" s="34">
        <f t="shared" si="44"/>
        <v>5.17</v>
      </c>
      <c r="E577" s="30">
        <f t="shared" si="41"/>
        <v>0</v>
      </c>
      <c r="F577" s="31">
        <f t="shared" si="42"/>
        <v>0</v>
      </c>
      <c r="G577" s="32">
        <f t="shared" si="43"/>
        <v>0.11605415860735008</v>
      </c>
      <c r="H577" s="34">
        <f t="shared" si="40"/>
        <v>0.11605415860735008</v>
      </c>
      <c r="I577" s="42"/>
      <c r="J577" s="38"/>
      <c r="K577" s="38"/>
      <c r="L577" s="1"/>
      <c r="M577" s="1"/>
      <c r="N577" s="1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40"/>
      <c r="AE577" s="40"/>
    </row>
    <row r="578" spans="1:31" x14ac:dyDescent="0.25">
      <c r="A578" s="2"/>
      <c r="B578" s="1"/>
      <c r="C578" s="22">
        <v>518</v>
      </c>
      <c r="D578" s="34">
        <f t="shared" si="44"/>
        <v>5.18</v>
      </c>
      <c r="E578" s="30">
        <f t="shared" si="41"/>
        <v>0</v>
      </c>
      <c r="F578" s="31">
        <f t="shared" si="42"/>
        <v>0</v>
      </c>
      <c r="G578" s="32">
        <f t="shared" si="43"/>
        <v>0.11583011583011581</v>
      </c>
      <c r="H578" s="34">
        <f t="shared" si="40"/>
        <v>0.11583011583011581</v>
      </c>
      <c r="I578" s="42"/>
      <c r="J578" s="38"/>
      <c r="K578" s="38"/>
      <c r="L578" s="1"/>
      <c r="M578" s="1"/>
      <c r="N578" s="1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40"/>
      <c r="AE578" s="40"/>
    </row>
    <row r="579" spans="1:31" x14ac:dyDescent="0.25">
      <c r="A579" s="2"/>
      <c r="B579" s="1"/>
      <c r="C579" s="22">
        <v>519</v>
      </c>
      <c r="D579" s="34">
        <f t="shared" si="44"/>
        <v>5.19</v>
      </c>
      <c r="E579" s="30">
        <f t="shared" si="41"/>
        <v>0</v>
      </c>
      <c r="F579" s="31">
        <f t="shared" si="42"/>
        <v>0</v>
      </c>
      <c r="G579" s="32">
        <f t="shared" si="43"/>
        <v>0.11560693641618494</v>
      </c>
      <c r="H579" s="34">
        <f t="shared" si="40"/>
        <v>0.11560693641618494</v>
      </c>
      <c r="I579" s="42"/>
      <c r="J579" s="38"/>
      <c r="K579" s="38"/>
      <c r="L579" s="1"/>
      <c r="M579" s="1"/>
      <c r="N579" s="1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40"/>
      <c r="AE579" s="40"/>
    </row>
    <row r="580" spans="1:31" x14ac:dyDescent="0.25">
      <c r="A580" s="2"/>
      <c r="B580" s="1"/>
      <c r="C580" s="22">
        <v>520</v>
      </c>
      <c r="D580" s="34">
        <f t="shared" si="44"/>
        <v>5.2</v>
      </c>
      <c r="E580" s="30">
        <f t="shared" si="41"/>
        <v>0</v>
      </c>
      <c r="F580" s="31">
        <f t="shared" si="42"/>
        <v>0</v>
      </c>
      <c r="G580" s="32">
        <f t="shared" si="43"/>
        <v>0.11538461538461535</v>
      </c>
      <c r="H580" s="34">
        <f t="shared" si="40"/>
        <v>0.11538461538461535</v>
      </c>
      <c r="I580" s="42"/>
      <c r="J580" s="38"/>
      <c r="K580" s="38"/>
      <c r="L580" s="1"/>
      <c r="M580" s="1"/>
      <c r="N580" s="1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40"/>
      <c r="AE580" s="40"/>
    </row>
    <row r="581" spans="1:31" x14ac:dyDescent="0.25">
      <c r="A581" s="2"/>
      <c r="B581" s="1"/>
      <c r="C581" s="22">
        <v>521</v>
      </c>
      <c r="D581" s="34">
        <f t="shared" si="44"/>
        <v>5.21</v>
      </c>
      <c r="E581" s="30">
        <f t="shared" si="41"/>
        <v>0</v>
      </c>
      <c r="F581" s="31">
        <f t="shared" si="42"/>
        <v>0</v>
      </c>
      <c r="G581" s="32">
        <f t="shared" si="43"/>
        <v>0.11516314779270631</v>
      </c>
      <c r="H581" s="34">
        <f t="shared" si="40"/>
        <v>0.11516314779270631</v>
      </c>
      <c r="I581" s="42"/>
      <c r="J581" s="38"/>
      <c r="K581" s="38"/>
      <c r="L581" s="1"/>
      <c r="M581" s="1"/>
      <c r="N581" s="1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40"/>
      <c r="AE581" s="40"/>
    </row>
    <row r="582" spans="1:31" x14ac:dyDescent="0.25">
      <c r="A582" s="2"/>
      <c r="B582" s="1"/>
      <c r="C582" s="22">
        <v>522</v>
      </c>
      <c r="D582" s="34">
        <f t="shared" si="44"/>
        <v>5.22</v>
      </c>
      <c r="E582" s="30">
        <f t="shared" si="41"/>
        <v>0</v>
      </c>
      <c r="F582" s="31">
        <f t="shared" si="42"/>
        <v>0</v>
      </c>
      <c r="G582" s="32">
        <f t="shared" si="43"/>
        <v>0.11494252873563217</v>
      </c>
      <c r="H582" s="34">
        <f t="shared" si="40"/>
        <v>0.11494252873563217</v>
      </c>
      <c r="I582" s="42"/>
      <c r="J582" s="38"/>
      <c r="K582" s="38"/>
      <c r="L582" s="1"/>
      <c r="M582" s="1"/>
      <c r="N582" s="1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40"/>
      <c r="AE582" s="40"/>
    </row>
    <row r="583" spans="1:31" x14ac:dyDescent="0.25">
      <c r="A583" s="2"/>
      <c r="B583" s="1"/>
      <c r="C583" s="22">
        <v>523</v>
      </c>
      <c r="D583" s="34">
        <f t="shared" si="44"/>
        <v>5.23</v>
      </c>
      <c r="E583" s="30">
        <f t="shared" si="41"/>
        <v>0</v>
      </c>
      <c r="F583" s="31">
        <f t="shared" si="42"/>
        <v>0</v>
      </c>
      <c r="G583" s="32">
        <f t="shared" si="43"/>
        <v>0.11472275334608027</v>
      </c>
      <c r="H583" s="34">
        <f t="shared" si="40"/>
        <v>0.11472275334608027</v>
      </c>
      <c r="I583" s="42"/>
      <c r="J583" s="38"/>
      <c r="K583" s="38"/>
      <c r="L583" s="1"/>
      <c r="M583" s="1"/>
      <c r="N583" s="1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40"/>
      <c r="AE583" s="40"/>
    </row>
    <row r="584" spans="1:31" x14ac:dyDescent="0.25">
      <c r="A584" s="2"/>
      <c r="B584" s="1"/>
      <c r="C584" s="22">
        <v>524</v>
      </c>
      <c r="D584" s="34">
        <f t="shared" si="44"/>
        <v>5.24</v>
      </c>
      <c r="E584" s="30">
        <f t="shared" si="41"/>
        <v>0</v>
      </c>
      <c r="F584" s="31">
        <f t="shared" si="42"/>
        <v>0</v>
      </c>
      <c r="G584" s="32">
        <f t="shared" si="43"/>
        <v>0.1145038167938931</v>
      </c>
      <c r="H584" s="34">
        <f t="shared" si="40"/>
        <v>0.1145038167938931</v>
      </c>
      <c r="I584" s="42"/>
      <c r="J584" s="38"/>
      <c r="K584" s="38"/>
      <c r="L584" s="1"/>
      <c r="M584" s="1"/>
      <c r="N584" s="1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40"/>
      <c r="AE584" s="40"/>
    </row>
    <row r="585" spans="1:31" x14ac:dyDescent="0.25">
      <c r="A585" s="2"/>
      <c r="B585" s="1"/>
      <c r="C585" s="22">
        <v>525</v>
      </c>
      <c r="D585" s="34">
        <f t="shared" si="44"/>
        <v>5.25</v>
      </c>
      <c r="E585" s="30">
        <f t="shared" si="41"/>
        <v>0</v>
      </c>
      <c r="F585" s="31">
        <f t="shared" si="42"/>
        <v>0</v>
      </c>
      <c r="G585" s="32">
        <f t="shared" si="43"/>
        <v>0.11428571428571425</v>
      </c>
      <c r="H585" s="34">
        <f t="shared" si="40"/>
        <v>0.11428571428571425</v>
      </c>
      <c r="I585" s="42"/>
      <c r="J585" s="38"/>
      <c r="K585" s="38"/>
      <c r="L585" s="1"/>
      <c r="M585" s="1"/>
      <c r="N585" s="1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40"/>
      <c r="AE585" s="40"/>
    </row>
    <row r="586" spans="1:31" x14ac:dyDescent="0.25">
      <c r="A586" s="2"/>
      <c r="B586" s="1"/>
      <c r="C586" s="22">
        <v>526</v>
      </c>
      <c r="D586" s="34">
        <f t="shared" si="44"/>
        <v>5.26</v>
      </c>
      <c r="E586" s="30">
        <f t="shared" si="41"/>
        <v>0</v>
      </c>
      <c r="F586" s="31">
        <f t="shared" si="42"/>
        <v>0</v>
      </c>
      <c r="G586" s="32">
        <f t="shared" si="43"/>
        <v>0.11406844106463876</v>
      </c>
      <c r="H586" s="34">
        <f t="shared" si="40"/>
        <v>0.11406844106463876</v>
      </c>
      <c r="I586" s="42"/>
      <c r="J586" s="38"/>
      <c r="K586" s="38"/>
      <c r="L586" s="1"/>
      <c r="M586" s="1"/>
      <c r="N586" s="1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40"/>
      <c r="AE586" s="40"/>
    </row>
    <row r="587" spans="1:31" x14ac:dyDescent="0.25">
      <c r="A587" s="2"/>
      <c r="B587" s="1"/>
      <c r="C587" s="22">
        <v>527</v>
      </c>
      <c r="D587" s="34">
        <f t="shared" si="44"/>
        <v>5.2700000000000005</v>
      </c>
      <c r="E587" s="30">
        <f t="shared" si="41"/>
        <v>0</v>
      </c>
      <c r="F587" s="31">
        <f t="shared" si="42"/>
        <v>0</v>
      </c>
      <c r="G587" s="32">
        <f t="shared" si="43"/>
        <v>0.11385199240986714</v>
      </c>
      <c r="H587" s="34">
        <f t="shared" si="40"/>
        <v>0.11385199240986714</v>
      </c>
      <c r="I587" s="42"/>
      <c r="J587" s="38"/>
      <c r="K587" s="38"/>
      <c r="L587" s="1"/>
      <c r="M587" s="1"/>
      <c r="N587" s="1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40"/>
      <c r="AE587" s="40"/>
    </row>
    <row r="588" spans="1:31" x14ac:dyDescent="0.25">
      <c r="A588" s="2"/>
      <c r="B588" s="1"/>
      <c r="C588" s="22">
        <v>528</v>
      </c>
      <c r="D588" s="34">
        <f t="shared" si="44"/>
        <v>5.28</v>
      </c>
      <c r="E588" s="30">
        <f t="shared" si="41"/>
        <v>0</v>
      </c>
      <c r="F588" s="31">
        <f t="shared" si="42"/>
        <v>0</v>
      </c>
      <c r="G588" s="32">
        <f t="shared" si="43"/>
        <v>0.1136363636363636</v>
      </c>
      <c r="H588" s="34">
        <f t="shared" si="40"/>
        <v>0.1136363636363636</v>
      </c>
      <c r="I588" s="42"/>
      <c r="J588" s="38"/>
      <c r="K588" s="38"/>
      <c r="L588" s="1"/>
      <c r="M588" s="1"/>
      <c r="N588" s="1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40"/>
      <c r="AE588" s="40"/>
    </row>
    <row r="589" spans="1:31" x14ac:dyDescent="0.25">
      <c r="A589" s="2"/>
      <c r="B589" s="1"/>
      <c r="C589" s="22">
        <v>529</v>
      </c>
      <c r="D589" s="34">
        <f t="shared" si="44"/>
        <v>5.29</v>
      </c>
      <c r="E589" s="30">
        <f t="shared" si="41"/>
        <v>0</v>
      </c>
      <c r="F589" s="31">
        <f t="shared" si="42"/>
        <v>0</v>
      </c>
      <c r="G589" s="32">
        <f t="shared" si="43"/>
        <v>0.11342155009451793</v>
      </c>
      <c r="H589" s="34">
        <f t="shared" si="40"/>
        <v>0.11342155009451793</v>
      </c>
      <c r="I589" s="42"/>
      <c r="J589" s="38"/>
      <c r="K589" s="38"/>
      <c r="L589" s="1"/>
      <c r="M589" s="1"/>
      <c r="N589" s="1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40"/>
      <c r="AE589" s="40"/>
    </row>
    <row r="590" spans="1:31" x14ac:dyDescent="0.25">
      <c r="A590" s="2"/>
      <c r="B590" s="1"/>
      <c r="C590" s="22">
        <v>530</v>
      </c>
      <c r="D590" s="34">
        <f t="shared" si="44"/>
        <v>5.3</v>
      </c>
      <c r="E590" s="30">
        <f t="shared" si="41"/>
        <v>0</v>
      </c>
      <c r="F590" s="31">
        <f t="shared" si="42"/>
        <v>0</v>
      </c>
      <c r="G590" s="32">
        <f t="shared" si="43"/>
        <v>0.1132075471698113</v>
      </c>
      <c r="H590" s="34">
        <f t="shared" si="40"/>
        <v>0.1132075471698113</v>
      </c>
      <c r="I590" s="42"/>
      <c r="J590" s="38"/>
      <c r="K590" s="38"/>
      <c r="L590" s="1"/>
      <c r="M590" s="1"/>
      <c r="N590" s="1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40"/>
      <c r="AE590" s="40"/>
    </row>
    <row r="591" spans="1:31" x14ac:dyDescent="0.25">
      <c r="A591" s="2"/>
      <c r="B591" s="1"/>
      <c r="C591" s="22">
        <v>531</v>
      </c>
      <c r="D591" s="34">
        <f t="shared" si="44"/>
        <v>5.3100000000000005</v>
      </c>
      <c r="E591" s="30">
        <f t="shared" si="41"/>
        <v>0</v>
      </c>
      <c r="F591" s="31">
        <f t="shared" si="42"/>
        <v>0</v>
      </c>
      <c r="G591" s="32">
        <f t="shared" si="43"/>
        <v>0.11299435028248583</v>
      </c>
      <c r="H591" s="34">
        <f t="shared" si="40"/>
        <v>0.11299435028248583</v>
      </c>
      <c r="I591" s="42"/>
      <c r="J591" s="38"/>
      <c r="K591" s="38"/>
      <c r="L591" s="1"/>
      <c r="M591" s="1"/>
      <c r="N591" s="1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40"/>
      <c r="AE591" s="40"/>
    </row>
    <row r="592" spans="1:31" x14ac:dyDescent="0.25">
      <c r="A592" s="2"/>
      <c r="B592" s="1"/>
      <c r="C592" s="22">
        <v>532</v>
      </c>
      <c r="D592" s="34">
        <f t="shared" si="44"/>
        <v>5.32</v>
      </c>
      <c r="E592" s="30">
        <f t="shared" si="41"/>
        <v>0</v>
      </c>
      <c r="F592" s="31">
        <f t="shared" si="42"/>
        <v>0</v>
      </c>
      <c r="G592" s="32">
        <f t="shared" si="43"/>
        <v>0.11278195488721801</v>
      </c>
      <c r="H592" s="34">
        <f t="shared" si="40"/>
        <v>0.11278195488721801</v>
      </c>
      <c r="I592" s="42"/>
      <c r="J592" s="38"/>
      <c r="K592" s="38"/>
      <c r="L592" s="1"/>
      <c r="M592" s="1"/>
      <c r="N592" s="1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40"/>
      <c r="AE592" s="40"/>
    </row>
    <row r="593" spans="1:31" x14ac:dyDescent="0.25">
      <c r="A593" s="2"/>
      <c r="B593" s="1"/>
      <c r="C593" s="22">
        <v>533</v>
      </c>
      <c r="D593" s="34">
        <f t="shared" si="44"/>
        <v>5.33</v>
      </c>
      <c r="E593" s="30">
        <f t="shared" si="41"/>
        <v>0</v>
      </c>
      <c r="F593" s="31">
        <f t="shared" si="42"/>
        <v>0</v>
      </c>
      <c r="G593" s="32">
        <f t="shared" si="43"/>
        <v>0.11257035647279547</v>
      </c>
      <c r="H593" s="34">
        <f t="shared" si="40"/>
        <v>0.11257035647279547</v>
      </c>
      <c r="I593" s="42"/>
      <c r="J593" s="38"/>
      <c r="K593" s="38"/>
      <c r="L593" s="1"/>
      <c r="M593" s="1"/>
      <c r="N593" s="1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40"/>
      <c r="AE593" s="40"/>
    </row>
    <row r="594" spans="1:31" x14ac:dyDescent="0.25">
      <c r="A594" s="2"/>
      <c r="B594" s="1"/>
      <c r="C594" s="22">
        <v>534</v>
      </c>
      <c r="D594" s="34">
        <f t="shared" si="44"/>
        <v>5.34</v>
      </c>
      <c r="E594" s="30">
        <f t="shared" si="41"/>
        <v>0</v>
      </c>
      <c r="F594" s="31">
        <f t="shared" si="42"/>
        <v>0</v>
      </c>
      <c r="G594" s="32">
        <f t="shared" si="43"/>
        <v>0.11235955056179774</v>
      </c>
      <c r="H594" s="34">
        <f t="shared" si="40"/>
        <v>0.11235955056179774</v>
      </c>
      <c r="I594" s="42"/>
      <c r="J594" s="38"/>
      <c r="K594" s="38"/>
      <c r="L594" s="1"/>
      <c r="M594" s="1"/>
      <c r="N594" s="1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40"/>
      <c r="AE594" s="40"/>
    </row>
    <row r="595" spans="1:31" x14ac:dyDescent="0.25">
      <c r="A595" s="2"/>
      <c r="B595" s="1"/>
      <c r="C595" s="22">
        <v>535</v>
      </c>
      <c r="D595" s="34">
        <f t="shared" si="44"/>
        <v>5.3500000000000005</v>
      </c>
      <c r="E595" s="30">
        <f t="shared" si="41"/>
        <v>0</v>
      </c>
      <c r="F595" s="31">
        <f t="shared" si="42"/>
        <v>0</v>
      </c>
      <c r="G595" s="32">
        <f t="shared" si="43"/>
        <v>0.11214953271028034</v>
      </c>
      <c r="H595" s="34">
        <f t="shared" si="40"/>
        <v>0.11214953271028034</v>
      </c>
      <c r="I595" s="42"/>
      <c r="J595" s="38"/>
      <c r="K595" s="38"/>
      <c r="L595" s="1"/>
      <c r="M595" s="1"/>
      <c r="N595" s="1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40"/>
      <c r="AE595" s="40"/>
    </row>
    <row r="596" spans="1:31" x14ac:dyDescent="0.25">
      <c r="A596" s="2"/>
      <c r="B596" s="1"/>
      <c r="C596" s="22">
        <v>536</v>
      </c>
      <c r="D596" s="34">
        <f t="shared" si="44"/>
        <v>5.36</v>
      </c>
      <c r="E596" s="30">
        <f t="shared" si="41"/>
        <v>0</v>
      </c>
      <c r="F596" s="31">
        <f t="shared" si="42"/>
        <v>0</v>
      </c>
      <c r="G596" s="32">
        <f t="shared" si="43"/>
        <v>0.11194029850746265</v>
      </c>
      <c r="H596" s="34">
        <f t="shared" si="40"/>
        <v>0.11194029850746265</v>
      </c>
      <c r="I596" s="42"/>
      <c r="J596" s="38"/>
      <c r="K596" s="38"/>
      <c r="L596" s="1"/>
      <c r="M596" s="1"/>
      <c r="N596" s="1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40"/>
      <c r="AE596" s="40"/>
    </row>
    <row r="597" spans="1:31" x14ac:dyDescent="0.25">
      <c r="A597" s="2"/>
      <c r="B597" s="1"/>
      <c r="C597" s="22">
        <v>537</v>
      </c>
      <c r="D597" s="34">
        <f t="shared" si="44"/>
        <v>5.37</v>
      </c>
      <c r="E597" s="30">
        <f t="shared" si="41"/>
        <v>0</v>
      </c>
      <c r="F597" s="31">
        <f t="shared" si="42"/>
        <v>0</v>
      </c>
      <c r="G597" s="32">
        <f t="shared" si="43"/>
        <v>0.11173184357541897</v>
      </c>
      <c r="H597" s="34">
        <f t="shared" si="40"/>
        <v>0.11173184357541897</v>
      </c>
      <c r="I597" s="42"/>
      <c r="J597" s="38"/>
      <c r="K597" s="38"/>
      <c r="L597" s="1"/>
      <c r="M597" s="1"/>
      <c r="N597" s="1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40"/>
      <c r="AE597" s="40"/>
    </row>
    <row r="598" spans="1:31" x14ac:dyDescent="0.25">
      <c r="A598" s="2"/>
      <c r="B598" s="1"/>
      <c r="C598" s="22">
        <v>538</v>
      </c>
      <c r="D598" s="34">
        <f t="shared" si="44"/>
        <v>5.38</v>
      </c>
      <c r="E598" s="30">
        <f t="shared" si="41"/>
        <v>0</v>
      </c>
      <c r="F598" s="31">
        <f t="shared" si="42"/>
        <v>0</v>
      </c>
      <c r="G598" s="32">
        <f t="shared" si="43"/>
        <v>0.11152416356877322</v>
      </c>
      <c r="H598" s="34">
        <f t="shared" si="40"/>
        <v>0.11152416356877322</v>
      </c>
      <c r="I598" s="42"/>
      <c r="J598" s="38"/>
      <c r="K598" s="38"/>
      <c r="L598" s="1"/>
      <c r="M598" s="1"/>
      <c r="N598" s="1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40"/>
      <c r="AE598" s="40"/>
    </row>
    <row r="599" spans="1:31" x14ac:dyDescent="0.25">
      <c r="A599" s="2"/>
      <c r="B599" s="1"/>
      <c r="C599" s="22">
        <v>539</v>
      </c>
      <c r="D599" s="34">
        <f t="shared" si="44"/>
        <v>5.39</v>
      </c>
      <c r="E599" s="30">
        <f t="shared" si="41"/>
        <v>0</v>
      </c>
      <c r="F599" s="31">
        <f t="shared" si="42"/>
        <v>0</v>
      </c>
      <c r="G599" s="32">
        <f t="shared" si="43"/>
        <v>0.11131725417439702</v>
      </c>
      <c r="H599" s="34">
        <f t="shared" si="40"/>
        <v>0.11131725417439702</v>
      </c>
      <c r="I599" s="42"/>
      <c r="J599" s="38"/>
      <c r="K599" s="38"/>
      <c r="L599" s="1"/>
      <c r="M599" s="1"/>
      <c r="N599" s="1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40"/>
      <c r="AE599" s="40"/>
    </row>
    <row r="600" spans="1:31" x14ac:dyDescent="0.25">
      <c r="A600" s="2"/>
      <c r="B600" s="1"/>
      <c r="C600" s="22">
        <v>540</v>
      </c>
      <c r="D600" s="34">
        <f t="shared" si="44"/>
        <v>5.4</v>
      </c>
      <c r="E600" s="30">
        <f t="shared" si="41"/>
        <v>0</v>
      </c>
      <c r="F600" s="31">
        <f t="shared" si="42"/>
        <v>0</v>
      </c>
      <c r="G600" s="32">
        <f t="shared" si="43"/>
        <v>0.11111111111111108</v>
      </c>
      <c r="H600" s="34">
        <f t="shared" si="40"/>
        <v>0.11111111111111108</v>
      </c>
      <c r="I600" s="42"/>
      <c r="J600" s="38"/>
      <c r="K600" s="38"/>
      <c r="L600" s="1"/>
      <c r="M600" s="1"/>
      <c r="N600" s="1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40"/>
      <c r="AE600" s="40"/>
    </row>
    <row r="601" spans="1:31" x14ac:dyDescent="0.25">
      <c r="A601" s="2"/>
      <c r="B601" s="1"/>
      <c r="C601" s="22">
        <v>541</v>
      </c>
      <c r="D601" s="34">
        <f t="shared" si="44"/>
        <v>5.41</v>
      </c>
      <c r="E601" s="30">
        <f t="shared" si="41"/>
        <v>0</v>
      </c>
      <c r="F601" s="31">
        <f t="shared" si="42"/>
        <v>0</v>
      </c>
      <c r="G601" s="32">
        <f t="shared" si="43"/>
        <v>0.11090573012938999</v>
      </c>
      <c r="H601" s="34">
        <f t="shared" si="40"/>
        <v>0.11090573012938999</v>
      </c>
      <c r="I601" s="42"/>
      <c r="J601" s="38"/>
      <c r="K601" s="38"/>
      <c r="L601" s="1"/>
      <c r="M601" s="1"/>
      <c r="N601" s="1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40"/>
      <c r="AE601" s="40"/>
    </row>
    <row r="602" spans="1:31" x14ac:dyDescent="0.25">
      <c r="A602" s="2"/>
      <c r="B602" s="1"/>
      <c r="C602" s="22">
        <v>542</v>
      </c>
      <c r="D602" s="34">
        <f t="shared" si="44"/>
        <v>5.42</v>
      </c>
      <c r="E602" s="30">
        <f t="shared" si="41"/>
        <v>0</v>
      </c>
      <c r="F602" s="31">
        <f t="shared" si="42"/>
        <v>0</v>
      </c>
      <c r="G602" s="32">
        <f t="shared" si="43"/>
        <v>0.11070110701107008</v>
      </c>
      <c r="H602" s="34">
        <f t="shared" si="40"/>
        <v>0.11070110701107008</v>
      </c>
      <c r="I602" s="42"/>
      <c r="J602" s="38"/>
      <c r="K602" s="38"/>
      <c r="L602" s="1"/>
      <c r="M602" s="1"/>
      <c r="N602" s="1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40"/>
      <c r="AE602" s="40"/>
    </row>
    <row r="603" spans="1:31" x14ac:dyDescent="0.25">
      <c r="A603" s="2"/>
      <c r="B603" s="1"/>
      <c r="C603" s="22">
        <v>543</v>
      </c>
      <c r="D603" s="34">
        <f t="shared" si="44"/>
        <v>5.43</v>
      </c>
      <c r="E603" s="30">
        <f t="shared" si="41"/>
        <v>0</v>
      </c>
      <c r="F603" s="31">
        <f t="shared" si="42"/>
        <v>0</v>
      </c>
      <c r="G603" s="32">
        <f t="shared" si="43"/>
        <v>0.11049723756906076</v>
      </c>
      <c r="H603" s="34">
        <f t="shared" si="40"/>
        <v>0.11049723756906076</v>
      </c>
      <c r="I603" s="42"/>
      <c r="J603" s="38"/>
      <c r="K603" s="38"/>
      <c r="L603" s="1"/>
      <c r="M603" s="1"/>
      <c r="N603" s="1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40"/>
      <c r="AE603" s="40"/>
    </row>
    <row r="604" spans="1:31" x14ac:dyDescent="0.25">
      <c r="A604" s="2"/>
      <c r="B604" s="1"/>
      <c r="C604" s="22">
        <v>544</v>
      </c>
      <c r="D604" s="34">
        <f t="shared" si="44"/>
        <v>5.44</v>
      </c>
      <c r="E604" s="30">
        <f t="shared" si="41"/>
        <v>0</v>
      </c>
      <c r="F604" s="31">
        <f t="shared" si="42"/>
        <v>0</v>
      </c>
      <c r="G604" s="32">
        <f t="shared" si="43"/>
        <v>0.11029411764705879</v>
      </c>
      <c r="H604" s="34">
        <f t="shared" si="40"/>
        <v>0.11029411764705879</v>
      </c>
      <c r="I604" s="42"/>
      <c r="J604" s="38"/>
      <c r="K604" s="38"/>
      <c r="L604" s="1"/>
      <c r="M604" s="1"/>
      <c r="N604" s="1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40"/>
      <c r="AE604" s="40"/>
    </row>
    <row r="605" spans="1:31" x14ac:dyDescent="0.25">
      <c r="A605" s="2"/>
      <c r="B605" s="1"/>
      <c r="C605" s="22">
        <v>545</v>
      </c>
      <c r="D605" s="34">
        <f t="shared" si="44"/>
        <v>5.45</v>
      </c>
      <c r="E605" s="30">
        <f t="shared" si="41"/>
        <v>0</v>
      </c>
      <c r="F605" s="31">
        <f t="shared" si="42"/>
        <v>0</v>
      </c>
      <c r="G605" s="32">
        <f t="shared" si="43"/>
        <v>0.11009174311926603</v>
      </c>
      <c r="H605" s="34">
        <f t="shared" si="40"/>
        <v>0.11009174311926603</v>
      </c>
      <c r="I605" s="42"/>
      <c r="J605" s="38"/>
      <c r="K605" s="38"/>
      <c r="L605" s="1"/>
      <c r="M605" s="1"/>
      <c r="N605" s="1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40"/>
      <c r="AE605" s="40"/>
    </row>
    <row r="606" spans="1:31" x14ac:dyDescent="0.25">
      <c r="A606" s="2"/>
      <c r="B606" s="1"/>
      <c r="C606" s="22">
        <v>546</v>
      </c>
      <c r="D606" s="34">
        <f t="shared" si="44"/>
        <v>5.46</v>
      </c>
      <c r="E606" s="30">
        <f t="shared" si="41"/>
        <v>0</v>
      </c>
      <c r="F606" s="31">
        <f t="shared" si="42"/>
        <v>0</v>
      </c>
      <c r="G606" s="32">
        <f t="shared" si="43"/>
        <v>0.10989010989010986</v>
      </c>
      <c r="H606" s="34">
        <f t="shared" si="40"/>
        <v>0.10989010989010986</v>
      </c>
      <c r="I606" s="42"/>
      <c r="J606" s="38"/>
      <c r="K606" s="38"/>
      <c r="L606" s="1"/>
      <c r="M606" s="1"/>
      <c r="N606" s="1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40"/>
      <c r="AE606" s="40"/>
    </row>
    <row r="607" spans="1:31" x14ac:dyDescent="0.25">
      <c r="A607" s="2"/>
      <c r="B607" s="1"/>
      <c r="C607" s="22">
        <v>547</v>
      </c>
      <c r="D607" s="34">
        <f t="shared" si="44"/>
        <v>5.47</v>
      </c>
      <c r="E607" s="30">
        <f t="shared" si="41"/>
        <v>0</v>
      </c>
      <c r="F607" s="31">
        <f t="shared" si="42"/>
        <v>0</v>
      </c>
      <c r="G607" s="32">
        <f t="shared" si="43"/>
        <v>0.10968921389396707</v>
      </c>
      <c r="H607" s="34">
        <f t="shared" si="40"/>
        <v>0.10968921389396707</v>
      </c>
      <c r="I607" s="42"/>
      <c r="J607" s="38"/>
      <c r="K607" s="38"/>
      <c r="L607" s="1"/>
      <c r="M607" s="1"/>
      <c r="N607" s="1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40"/>
      <c r="AE607" s="40"/>
    </row>
    <row r="608" spans="1:31" x14ac:dyDescent="0.25">
      <c r="A608" s="2"/>
      <c r="B608" s="1"/>
      <c r="C608" s="22">
        <v>548</v>
      </c>
      <c r="D608" s="34">
        <f t="shared" si="44"/>
        <v>5.48</v>
      </c>
      <c r="E608" s="30">
        <f t="shared" si="41"/>
        <v>0</v>
      </c>
      <c r="F608" s="31">
        <f t="shared" si="42"/>
        <v>0</v>
      </c>
      <c r="G608" s="32">
        <f t="shared" si="43"/>
        <v>0.10948905109489047</v>
      </c>
      <c r="H608" s="34">
        <f t="shared" si="40"/>
        <v>0.10948905109489047</v>
      </c>
      <c r="I608" s="42"/>
      <c r="J608" s="38"/>
      <c r="K608" s="38"/>
      <c r="L608" s="1"/>
      <c r="M608" s="1"/>
      <c r="N608" s="1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40"/>
      <c r="AE608" s="40"/>
    </row>
    <row r="609" spans="1:31" x14ac:dyDescent="0.25">
      <c r="A609" s="2"/>
      <c r="B609" s="1"/>
      <c r="C609" s="22">
        <v>549</v>
      </c>
      <c r="D609" s="34">
        <f t="shared" si="44"/>
        <v>5.49</v>
      </c>
      <c r="E609" s="30">
        <f t="shared" si="41"/>
        <v>0</v>
      </c>
      <c r="F609" s="31">
        <f t="shared" si="42"/>
        <v>0</v>
      </c>
      <c r="G609" s="32">
        <f t="shared" si="43"/>
        <v>0.10928961748633877</v>
      </c>
      <c r="H609" s="34">
        <f t="shared" ref="H609:H672" si="45">SUM(E609:G609)</f>
        <v>0.10928961748633877</v>
      </c>
      <c r="I609" s="42"/>
      <c r="J609" s="38"/>
      <c r="K609" s="38"/>
      <c r="L609" s="1"/>
      <c r="M609" s="1"/>
      <c r="N609" s="1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40"/>
      <c r="AE609" s="40"/>
    </row>
    <row r="610" spans="1:31" x14ac:dyDescent="0.25">
      <c r="A610" s="2"/>
      <c r="B610" s="1"/>
      <c r="C610" s="22">
        <v>550</v>
      </c>
      <c r="D610" s="34">
        <f t="shared" si="44"/>
        <v>5.5</v>
      </c>
      <c r="E610" s="30">
        <f t="shared" si="41"/>
        <v>0</v>
      </c>
      <c r="F610" s="31">
        <f t="shared" si="42"/>
        <v>0</v>
      </c>
      <c r="G610" s="32">
        <f t="shared" si="43"/>
        <v>0.10909090909090907</v>
      </c>
      <c r="H610" s="34">
        <f t="shared" si="45"/>
        <v>0.10909090909090907</v>
      </c>
      <c r="I610" s="42"/>
      <c r="J610" s="38"/>
      <c r="K610" s="38"/>
      <c r="L610" s="1"/>
      <c r="M610" s="1"/>
      <c r="N610" s="1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40"/>
      <c r="AE610" s="40"/>
    </row>
    <row r="611" spans="1:31" x14ac:dyDescent="0.25">
      <c r="A611" s="2"/>
      <c r="B611" s="1"/>
      <c r="C611" s="22">
        <v>551</v>
      </c>
      <c r="D611" s="34">
        <f t="shared" si="44"/>
        <v>5.51</v>
      </c>
      <c r="E611" s="30">
        <f t="shared" si="41"/>
        <v>0</v>
      </c>
      <c r="F611" s="31">
        <f t="shared" si="42"/>
        <v>0</v>
      </c>
      <c r="G611" s="32">
        <f t="shared" si="43"/>
        <v>0.10889292196007258</v>
      </c>
      <c r="H611" s="34">
        <f t="shared" si="45"/>
        <v>0.10889292196007258</v>
      </c>
      <c r="I611" s="42"/>
      <c r="J611" s="38"/>
      <c r="K611" s="38"/>
      <c r="L611" s="1"/>
      <c r="M611" s="1"/>
      <c r="N611" s="1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40"/>
      <c r="AE611" s="40"/>
    </row>
    <row r="612" spans="1:31" x14ac:dyDescent="0.25">
      <c r="A612" s="2"/>
      <c r="B612" s="1"/>
      <c r="C612" s="22">
        <v>552</v>
      </c>
      <c r="D612" s="34">
        <f t="shared" si="44"/>
        <v>5.5200000000000005</v>
      </c>
      <c r="E612" s="30">
        <f t="shared" si="41"/>
        <v>0</v>
      </c>
      <c r="F612" s="31">
        <f t="shared" si="42"/>
        <v>0</v>
      </c>
      <c r="G612" s="32">
        <f t="shared" si="43"/>
        <v>0.10869565217391301</v>
      </c>
      <c r="H612" s="34">
        <f t="shared" si="45"/>
        <v>0.10869565217391301</v>
      </c>
      <c r="I612" s="42"/>
      <c r="J612" s="38"/>
      <c r="K612" s="38"/>
      <c r="L612" s="1"/>
      <c r="M612" s="1"/>
      <c r="N612" s="1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40"/>
      <c r="AE612" s="40"/>
    </row>
    <row r="613" spans="1:31" x14ac:dyDescent="0.25">
      <c r="A613" s="2"/>
      <c r="B613" s="1"/>
      <c r="C613" s="22">
        <v>553</v>
      </c>
      <c r="D613" s="34">
        <f t="shared" si="44"/>
        <v>5.53</v>
      </c>
      <c r="E613" s="30">
        <f t="shared" si="41"/>
        <v>0</v>
      </c>
      <c r="F613" s="31">
        <f t="shared" si="42"/>
        <v>0</v>
      </c>
      <c r="G613" s="32">
        <f t="shared" si="43"/>
        <v>0.10849909584086796</v>
      </c>
      <c r="H613" s="34">
        <f t="shared" si="45"/>
        <v>0.10849909584086796</v>
      </c>
      <c r="I613" s="42"/>
      <c r="J613" s="38"/>
      <c r="K613" s="38"/>
      <c r="L613" s="1"/>
      <c r="M613" s="1"/>
      <c r="N613" s="1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40"/>
      <c r="AE613" s="40"/>
    </row>
    <row r="614" spans="1:31" x14ac:dyDescent="0.25">
      <c r="A614" s="2"/>
      <c r="B614" s="1"/>
      <c r="C614" s="22">
        <v>554</v>
      </c>
      <c r="D614" s="34">
        <f t="shared" si="44"/>
        <v>5.54</v>
      </c>
      <c r="E614" s="30">
        <f t="shared" si="41"/>
        <v>0</v>
      </c>
      <c r="F614" s="31">
        <f t="shared" si="42"/>
        <v>0</v>
      </c>
      <c r="G614" s="32">
        <f t="shared" si="43"/>
        <v>0.1083032490974729</v>
      </c>
      <c r="H614" s="34">
        <f t="shared" si="45"/>
        <v>0.1083032490974729</v>
      </c>
      <c r="I614" s="42"/>
      <c r="J614" s="38"/>
      <c r="K614" s="38"/>
      <c r="L614" s="1"/>
      <c r="M614" s="1"/>
      <c r="N614" s="1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40"/>
      <c r="AE614" s="40"/>
    </row>
    <row r="615" spans="1:31" x14ac:dyDescent="0.25">
      <c r="A615" s="2"/>
      <c r="B615" s="1"/>
      <c r="C615" s="22">
        <v>555</v>
      </c>
      <c r="D615" s="34">
        <f t="shared" si="44"/>
        <v>5.55</v>
      </c>
      <c r="E615" s="30">
        <f t="shared" si="41"/>
        <v>0</v>
      </c>
      <c r="F615" s="31">
        <f t="shared" si="42"/>
        <v>0</v>
      </c>
      <c r="G615" s="32">
        <f t="shared" si="43"/>
        <v>0.10810810810810809</v>
      </c>
      <c r="H615" s="34">
        <f t="shared" si="45"/>
        <v>0.10810810810810809</v>
      </c>
      <c r="I615" s="42"/>
      <c r="J615" s="38"/>
      <c r="K615" s="38"/>
      <c r="L615" s="1"/>
      <c r="M615" s="1"/>
      <c r="N615" s="1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40"/>
      <c r="AE615" s="40"/>
    </row>
    <row r="616" spans="1:31" x14ac:dyDescent="0.25">
      <c r="A616" s="2"/>
      <c r="B616" s="1"/>
      <c r="C616" s="22">
        <v>556</v>
      </c>
      <c r="D616" s="34">
        <f t="shared" si="44"/>
        <v>5.5600000000000005</v>
      </c>
      <c r="E616" s="30">
        <f t="shared" si="41"/>
        <v>0</v>
      </c>
      <c r="F616" s="31">
        <f t="shared" si="42"/>
        <v>0</v>
      </c>
      <c r="G616" s="32">
        <f t="shared" si="43"/>
        <v>0.10791366906474817</v>
      </c>
      <c r="H616" s="34">
        <f t="shared" si="45"/>
        <v>0.10791366906474817</v>
      </c>
      <c r="I616" s="42"/>
      <c r="J616" s="38"/>
      <c r="K616" s="38"/>
      <c r="L616" s="1"/>
      <c r="M616" s="1"/>
      <c r="N616" s="1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40"/>
      <c r="AE616" s="40"/>
    </row>
    <row r="617" spans="1:31" x14ac:dyDescent="0.25">
      <c r="A617" s="2"/>
      <c r="B617" s="1"/>
      <c r="C617" s="22">
        <v>557</v>
      </c>
      <c r="D617" s="34">
        <f t="shared" si="44"/>
        <v>5.57</v>
      </c>
      <c r="E617" s="30">
        <f t="shared" si="41"/>
        <v>0</v>
      </c>
      <c r="F617" s="31">
        <f t="shared" si="42"/>
        <v>0</v>
      </c>
      <c r="G617" s="32">
        <f t="shared" si="43"/>
        <v>0.10771992818671451</v>
      </c>
      <c r="H617" s="34">
        <f t="shared" si="45"/>
        <v>0.10771992818671451</v>
      </c>
      <c r="I617" s="42"/>
      <c r="J617" s="38"/>
      <c r="K617" s="38"/>
      <c r="L617" s="1"/>
      <c r="M617" s="1"/>
      <c r="N617" s="1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40"/>
      <c r="AE617" s="40"/>
    </row>
    <row r="618" spans="1:31" x14ac:dyDescent="0.25">
      <c r="A618" s="2"/>
      <c r="B618" s="1"/>
      <c r="C618" s="22">
        <v>558</v>
      </c>
      <c r="D618" s="34">
        <f t="shared" si="44"/>
        <v>5.58</v>
      </c>
      <c r="E618" s="30">
        <f t="shared" si="41"/>
        <v>0</v>
      </c>
      <c r="F618" s="31">
        <f t="shared" si="42"/>
        <v>0</v>
      </c>
      <c r="G618" s="32">
        <f t="shared" si="43"/>
        <v>0.10752688172043008</v>
      </c>
      <c r="H618" s="34">
        <f t="shared" si="45"/>
        <v>0.10752688172043008</v>
      </c>
      <c r="I618" s="42"/>
      <c r="J618" s="38"/>
      <c r="K618" s="38"/>
      <c r="L618" s="1"/>
      <c r="M618" s="1"/>
      <c r="N618" s="1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40"/>
      <c r="AE618" s="40"/>
    </row>
    <row r="619" spans="1:31" x14ac:dyDescent="0.25">
      <c r="A619" s="2"/>
      <c r="B619" s="1"/>
      <c r="C619" s="22">
        <v>559</v>
      </c>
      <c r="D619" s="34">
        <f t="shared" si="44"/>
        <v>5.59</v>
      </c>
      <c r="E619" s="30">
        <f t="shared" si="41"/>
        <v>0</v>
      </c>
      <c r="F619" s="31">
        <f t="shared" si="42"/>
        <v>0</v>
      </c>
      <c r="G619" s="32">
        <f t="shared" si="43"/>
        <v>0.10733452593917708</v>
      </c>
      <c r="H619" s="34">
        <f t="shared" si="45"/>
        <v>0.10733452593917708</v>
      </c>
      <c r="I619" s="42"/>
      <c r="J619" s="38"/>
      <c r="K619" s="38"/>
      <c r="L619" s="1"/>
      <c r="M619" s="1"/>
      <c r="N619" s="1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40"/>
      <c r="AE619" s="40"/>
    </row>
    <row r="620" spans="1:31" x14ac:dyDescent="0.25">
      <c r="A620" s="2"/>
      <c r="B620" s="1"/>
      <c r="C620" s="22">
        <v>560</v>
      </c>
      <c r="D620" s="34">
        <f t="shared" si="44"/>
        <v>5.6000000000000005</v>
      </c>
      <c r="E620" s="30">
        <f t="shared" si="41"/>
        <v>0</v>
      </c>
      <c r="F620" s="31">
        <f t="shared" si="42"/>
        <v>0</v>
      </c>
      <c r="G620" s="32">
        <f t="shared" si="43"/>
        <v>0.10714285714285711</v>
      </c>
      <c r="H620" s="34">
        <f t="shared" si="45"/>
        <v>0.10714285714285711</v>
      </c>
      <c r="I620" s="42"/>
      <c r="J620" s="38"/>
      <c r="K620" s="38"/>
      <c r="L620" s="1"/>
      <c r="M620" s="1"/>
      <c r="N620" s="1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40"/>
      <c r="AE620" s="40"/>
    </row>
    <row r="621" spans="1:31" x14ac:dyDescent="0.25">
      <c r="A621" s="2"/>
      <c r="B621" s="1"/>
      <c r="C621" s="22">
        <v>561</v>
      </c>
      <c r="D621" s="34">
        <f t="shared" si="44"/>
        <v>5.61</v>
      </c>
      <c r="E621" s="30">
        <f t="shared" si="41"/>
        <v>0</v>
      </c>
      <c r="F621" s="31">
        <f t="shared" si="42"/>
        <v>0</v>
      </c>
      <c r="G621" s="32">
        <f t="shared" si="43"/>
        <v>0.10695187165775398</v>
      </c>
      <c r="H621" s="34">
        <f t="shared" si="45"/>
        <v>0.10695187165775398</v>
      </c>
      <c r="I621" s="42"/>
      <c r="J621" s="38"/>
      <c r="K621" s="38"/>
      <c r="L621" s="1"/>
      <c r="M621" s="1"/>
      <c r="N621" s="1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40"/>
      <c r="AE621" s="40"/>
    </row>
    <row r="622" spans="1:31" x14ac:dyDescent="0.25">
      <c r="A622" s="2"/>
      <c r="B622" s="1"/>
      <c r="C622" s="22">
        <v>562</v>
      </c>
      <c r="D622" s="34">
        <f t="shared" si="44"/>
        <v>5.62</v>
      </c>
      <c r="E622" s="30">
        <f t="shared" si="41"/>
        <v>0</v>
      </c>
      <c r="F622" s="31">
        <f t="shared" si="42"/>
        <v>0</v>
      </c>
      <c r="G622" s="32">
        <f t="shared" si="43"/>
        <v>0.10676156583629891</v>
      </c>
      <c r="H622" s="34">
        <f t="shared" si="45"/>
        <v>0.10676156583629891</v>
      </c>
      <c r="I622" s="42"/>
      <c r="J622" s="38"/>
      <c r="K622" s="38"/>
      <c r="L622" s="1"/>
      <c r="M622" s="1"/>
      <c r="N622" s="1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40"/>
      <c r="AE622" s="40"/>
    </row>
    <row r="623" spans="1:31" x14ac:dyDescent="0.25">
      <c r="A623" s="2"/>
      <c r="B623" s="1"/>
      <c r="C623" s="22">
        <v>563</v>
      </c>
      <c r="D623" s="34">
        <f t="shared" si="44"/>
        <v>5.63</v>
      </c>
      <c r="E623" s="30">
        <f t="shared" si="41"/>
        <v>0</v>
      </c>
      <c r="F623" s="31">
        <f t="shared" si="42"/>
        <v>0</v>
      </c>
      <c r="G623" s="32">
        <f t="shared" si="43"/>
        <v>0.10657193605683835</v>
      </c>
      <c r="H623" s="34">
        <f t="shared" si="45"/>
        <v>0.10657193605683835</v>
      </c>
      <c r="I623" s="42"/>
      <c r="J623" s="38"/>
      <c r="K623" s="38"/>
      <c r="L623" s="1"/>
      <c r="M623" s="1"/>
      <c r="N623" s="1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40"/>
      <c r="AE623" s="40"/>
    </row>
    <row r="624" spans="1:31" x14ac:dyDescent="0.25">
      <c r="A624" s="2"/>
      <c r="B624" s="1"/>
      <c r="C624" s="22">
        <v>564</v>
      </c>
      <c r="D624" s="34">
        <f t="shared" si="44"/>
        <v>5.64</v>
      </c>
      <c r="E624" s="30">
        <f t="shared" si="41"/>
        <v>0</v>
      </c>
      <c r="F624" s="31">
        <f t="shared" si="42"/>
        <v>0</v>
      </c>
      <c r="G624" s="32">
        <f t="shared" si="43"/>
        <v>0.10638297872340424</v>
      </c>
      <c r="H624" s="34">
        <f t="shared" si="45"/>
        <v>0.10638297872340424</v>
      </c>
      <c r="I624" s="42"/>
      <c r="J624" s="38"/>
      <c r="K624" s="38"/>
      <c r="L624" s="1"/>
      <c r="M624" s="1"/>
      <c r="N624" s="1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40"/>
      <c r="AE624" s="40"/>
    </row>
    <row r="625" spans="1:31" x14ac:dyDescent="0.25">
      <c r="A625" s="2"/>
      <c r="B625" s="1"/>
      <c r="C625" s="22">
        <v>565</v>
      </c>
      <c r="D625" s="34">
        <f t="shared" si="44"/>
        <v>5.65</v>
      </c>
      <c r="E625" s="30">
        <f t="shared" si="41"/>
        <v>0</v>
      </c>
      <c r="F625" s="31">
        <f t="shared" si="42"/>
        <v>0</v>
      </c>
      <c r="G625" s="32">
        <f t="shared" si="43"/>
        <v>0.1061946902654867</v>
      </c>
      <c r="H625" s="34">
        <f t="shared" si="45"/>
        <v>0.1061946902654867</v>
      </c>
      <c r="I625" s="42"/>
      <c r="J625" s="38"/>
      <c r="K625" s="38"/>
      <c r="L625" s="1"/>
      <c r="M625" s="1"/>
      <c r="N625" s="1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40"/>
      <c r="AE625" s="40"/>
    </row>
    <row r="626" spans="1:31" x14ac:dyDescent="0.25">
      <c r="A626" s="2"/>
      <c r="B626" s="1"/>
      <c r="C626" s="22">
        <v>566</v>
      </c>
      <c r="D626" s="34">
        <f t="shared" si="44"/>
        <v>5.66</v>
      </c>
      <c r="E626" s="30">
        <f t="shared" si="41"/>
        <v>0</v>
      </c>
      <c r="F626" s="31">
        <f t="shared" si="42"/>
        <v>0</v>
      </c>
      <c r="G626" s="32">
        <f t="shared" si="43"/>
        <v>0.10600706713780916</v>
      </c>
      <c r="H626" s="34">
        <f t="shared" si="45"/>
        <v>0.10600706713780916</v>
      </c>
      <c r="I626" s="42"/>
      <c r="J626" s="38"/>
      <c r="K626" s="38"/>
      <c r="L626" s="1"/>
      <c r="M626" s="1"/>
      <c r="N626" s="1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40"/>
      <c r="AE626" s="40"/>
    </row>
    <row r="627" spans="1:31" x14ac:dyDescent="0.25">
      <c r="A627" s="2"/>
      <c r="B627" s="1"/>
      <c r="C627" s="22">
        <v>567</v>
      </c>
      <c r="D627" s="34">
        <f t="shared" si="44"/>
        <v>5.67</v>
      </c>
      <c r="E627" s="30">
        <f t="shared" si="41"/>
        <v>0</v>
      </c>
      <c r="F627" s="31">
        <f t="shared" si="42"/>
        <v>0</v>
      </c>
      <c r="G627" s="32">
        <f t="shared" si="43"/>
        <v>0.1058201058201058</v>
      </c>
      <c r="H627" s="34">
        <f t="shared" si="45"/>
        <v>0.1058201058201058</v>
      </c>
      <c r="I627" s="42"/>
      <c r="J627" s="38"/>
      <c r="K627" s="38"/>
      <c r="L627" s="1"/>
      <c r="M627" s="1"/>
      <c r="N627" s="1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40"/>
      <c r="AE627" s="40"/>
    </row>
    <row r="628" spans="1:31" x14ac:dyDescent="0.25">
      <c r="A628" s="2"/>
      <c r="B628" s="1"/>
      <c r="C628" s="22">
        <v>568</v>
      </c>
      <c r="D628" s="34">
        <f t="shared" si="44"/>
        <v>5.68</v>
      </c>
      <c r="E628" s="30">
        <f t="shared" si="41"/>
        <v>0</v>
      </c>
      <c r="F628" s="31">
        <f t="shared" si="42"/>
        <v>0</v>
      </c>
      <c r="G628" s="32">
        <f t="shared" si="43"/>
        <v>0.10563380281690139</v>
      </c>
      <c r="H628" s="34">
        <f t="shared" si="45"/>
        <v>0.10563380281690139</v>
      </c>
      <c r="I628" s="42"/>
      <c r="J628" s="38"/>
      <c r="K628" s="38"/>
      <c r="L628" s="1"/>
      <c r="M628" s="1"/>
      <c r="N628" s="1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40"/>
      <c r="AE628" s="40"/>
    </row>
    <row r="629" spans="1:31" x14ac:dyDescent="0.25">
      <c r="A629" s="2"/>
      <c r="B629" s="1"/>
      <c r="C629" s="22">
        <v>569</v>
      </c>
      <c r="D629" s="34">
        <f t="shared" si="44"/>
        <v>5.69</v>
      </c>
      <c r="E629" s="30">
        <f t="shared" si="41"/>
        <v>0</v>
      </c>
      <c r="F629" s="31">
        <f t="shared" si="42"/>
        <v>0</v>
      </c>
      <c r="G629" s="32">
        <f t="shared" si="43"/>
        <v>0.10544815465729347</v>
      </c>
      <c r="H629" s="34">
        <f t="shared" si="45"/>
        <v>0.10544815465729347</v>
      </c>
      <c r="I629" s="42"/>
      <c r="J629" s="38"/>
      <c r="K629" s="38"/>
      <c r="L629" s="1"/>
      <c r="M629" s="1"/>
      <c r="N629" s="1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40"/>
      <c r="AE629" s="40"/>
    </row>
    <row r="630" spans="1:31" x14ac:dyDescent="0.25">
      <c r="A630" s="2"/>
      <c r="B630" s="1"/>
      <c r="C630" s="22">
        <v>570</v>
      </c>
      <c r="D630" s="34">
        <f t="shared" si="44"/>
        <v>5.7</v>
      </c>
      <c r="E630" s="30">
        <f t="shared" si="41"/>
        <v>0</v>
      </c>
      <c r="F630" s="31">
        <f t="shared" si="42"/>
        <v>0</v>
      </c>
      <c r="G630" s="32">
        <f t="shared" si="43"/>
        <v>0.10526315789473682</v>
      </c>
      <c r="H630" s="34">
        <f t="shared" si="45"/>
        <v>0.10526315789473682</v>
      </c>
      <c r="I630" s="42"/>
      <c r="J630" s="38"/>
      <c r="K630" s="38"/>
      <c r="L630" s="1"/>
      <c r="M630" s="1"/>
      <c r="N630" s="1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40"/>
      <c r="AE630" s="40"/>
    </row>
    <row r="631" spans="1:31" x14ac:dyDescent="0.25">
      <c r="A631" s="2"/>
      <c r="B631" s="1"/>
      <c r="C631" s="22">
        <v>571</v>
      </c>
      <c r="D631" s="34">
        <f t="shared" si="44"/>
        <v>5.71</v>
      </c>
      <c r="E631" s="30">
        <f t="shared" si="41"/>
        <v>0</v>
      </c>
      <c r="F631" s="31">
        <f t="shared" si="42"/>
        <v>0</v>
      </c>
      <c r="G631" s="32">
        <f t="shared" si="43"/>
        <v>0.1050788091068301</v>
      </c>
      <c r="H631" s="34">
        <f t="shared" si="45"/>
        <v>0.1050788091068301</v>
      </c>
      <c r="I631" s="42"/>
      <c r="J631" s="38"/>
      <c r="K631" s="38"/>
      <c r="L631" s="1"/>
      <c r="M631" s="1"/>
      <c r="N631" s="1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40"/>
      <c r="AE631" s="40"/>
    </row>
    <row r="632" spans="1:31" x14ac:dyDescent="0.25">
      <c r="A632" s="2"/>
      <c r="B632" s="1"/>
      <c r="C632" s="22">
        <v>572</v>
      </c>
      <c r="D632" s="34">
        <f t="shared" si="44"/>
        <v>5.72</v>
      </c>
      <c r="E632" s="30">
        <f t="shared" si="41"/>
        <v>0</v>
      </c>
      <c r="F632" s="31">
        <f t="shared" si="42"/>
        <v>0</v>
      </c>
      <c r="G632" s="32">
        <f t="shared" si="43"/>
        <v>0.10489510489510488</v>
      </c>
      <c r="H632" s="34">
        <f t="shared" si="45"/>
        <v>0.10489510489510488</v>
      </c>
      <c r="I632" s="42"/>
      <c r="J632" s="38"/>
      <c r="K632" s="38"/>
      <c r="L632" s="1"/>
      <c r="M632" s="1"/>
      <c r="N632" s="1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40"/>
      <c r="AE632" s="40"/>
    </row>
    <row r="633" spans="1:31" x14ac:dyDescent="0.25">
      <c r="A633" s="2"/>
      <c r="B633" s="1"/>
      <c r="C633" s="22">
        <v>573</v>
      </c>
      <c r="D633" s="34">
        <f t="shared" si="44"/>
        <v>5.73</v>
      </c>
      <c r="E633" s="30">
        <f t="shared" si="41"/>
        <v>0</v>
      </c>
      <c r="F633" s="31">
        <f t="shared" si="42"/>
        <v>0</v>
      </c>
      <c r="G633" s="32">
        <f t="shared" si="43"/>
        <v>0.10471204188481673</v>
      </c>
      <c r="H633" s="34">
        <f t="shared" si="45"/>
        <v>0.10471204188481673</v>
      </c>
      <c r="I633" s="42"/>
      <c r="J633" s="38"/>
      <c r="K633" s="38"/>
      <c r="L633" s="1"/>
      <c r="M633" s="1"/>
      <c r="N633" s="1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40"/>
      <c r="AE633" s="40"/>
    </row>
    <row r="634" spans="1:31" x14ac:dyDescent="0.25">
      <c r="A634" s="2"/>
      <c r="B634" s="1"/>
      <c r="C634" s="22">
        <v>574</v>
      </c>
      <c r="D634" s="34">
        <f t="shared" si="44"/>
        <v>5.74</v>
      </c>
      <c r="E634" s="30">
        <f t="shared" si="41"/>
        <v>0</v>
      </c>
      <c r="F634" s="31">
        <f t="shared" si="42"/>
        <v>0</v>
      </c>
      <c r="G634" s="32">
        <f t="shared" si="43"/>
        <v>0.10452961672473865</v>
      </c>
      <c r="H634" s="34">
        <f t="shared" si="45"/>
        <v>0.10452961672473865</v>
      </c>
      <c r="I634" s="42"/>
      <c r="J634" s="38"/>
      <c r="K634" s="38"/>
      <c r="L634" s="1"/>
      <c r="M634" s="1"/>
      <c r="N634" s="1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40"/>
      <c r="AE634" s="40"/>
    </row>
    <row r="635" spans="1:31" x14ac:dyDescent="0.25">
      <c r="A635" s="2"/>
      <c r="B635" s="1"/>
      <c r="C635" s="22">
        <v>575</v>
      </c>
      <c r="D635" s="34">
        <f t="shared" si="44"/>
        <v>5.75</v>
      </c>
      <c r="E635" s="30">
        <f t="shared" si="41"/>
        <v>0</v>
      </c>
      <c r="F635" s="31">
        <f t="shared" si="42"/>
        <v>0</v>
      </c>
      <c r="G635" s="32">
        <f t="shared" si="43"/>
        <v>0.1043478260869565</v>
      </c>
      <c r="H635" s="34">
        <f t="shared" si="45"/>
        <v>0.1043478260869565</v>
      </c>
      <c r="I635" s="42"/>
      <c r="J635" s="38"/>
      <c r="K635" s="38"/>
      <c r="L635" s="1"/>
      <c r="M635" s="1"/>
      <c r="N635" s="1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40"/>
      <c r="AE635" s="40"/>
    </row>
    <row r="636" spans="1:31" x14ac:dyDescent="0.25">
      <c r="A636" s="2"/>
      <c r="B636" s="1"/>
      <c r="C636" s="22">
        <v>576</v>
      </c>
      <c r="D636" s="34">
        <f t="shared" si="44"/>
        <v>5.76</v>
      </c>
      <c r="E636" s="30">
        <f t="shared" ref="E636:E699" si="46">IF(D636&lt;$C$25,0.4+5*D636,0)</f>
        <v>0</v>
      </c>
      <c r="F636" s="31">
        <f t="shared" ref="F636:F699" si="47">IF(AND(D636&gt;=$C$25,D636&lt;=$C$26),$C$12,0)</f>
        <v>0</v>
      </c>
      <c r="G636" s="32">
        <f t="shared" ref="G636:G699" si="48">IF(D636&gt;$C$26,$C$13/D636,0)</f>
        <v>0.10416666666666664</v>
      </c>
      <c r="H636" s="34">
        <f t="shared" si="45"/>
        <v>0.10416666666666664</v>
      </c>
      <c r="I636" s="42"/>
      <c r="J636" s="38"/>
      <c r="K636" s="38"/>
      <c r="L636" s="1"/>
      <c r="M636" s="1"/>
      <c r="N636" s="1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40"/>
      <c r="AE636" s="40"/>
    </row>
    <row r="637" spans="1:31" x14ac:dyDescent="0.25">
      <c r="A637" s="2"/>
      <c r="B637" s="1"/>
      <c r="C637" s="22">
        <v>577</v>
      </c>
      <c r="D637" s="34">
        <f t="shared" ref="D637:D700" si="49">$D$55*C637</f>
        <v>5.7700000000000005</v>
      </c>
      <c r="E637" s="30">
        <f t="shared" si="46"/>
        <v>0</v>
      </c>
      <c r="F637" s="31">
        <f t="shared" si="47"/>
        <v>0</v>
      </c>
      <c r="G637" s="32">
        <f t="shared" si="48"/>
        <v>0.10398613518197571</v>
      </c>
      <c r="H637" s="34">
        <f t="shared" si="45"/>
        <v>0.10398613518197571</v>
      </c>
      <c r="I637" s="42"/>
      <c r="J637" s="38"/>
      <c r="K637" s="38"/>
      <c r="L637" s="1"/>
      <c r="M637" s="1"/>
      <c r="N637" s="1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40"/>
      <c r="AE637" s="40"/>
    </row>
    <row r="638" spans="1:31" x14ac:dyDescent="0.25">
      <c r="A638" s="2"/>
      <c r="B638" s="1"/>
      <c r="C638" s="22">
        <v>578</v>
      </c>
      <c r="D638" s="34">
        <f t="shared" si="49"/>
        <v>5.78</v>
      </c>
      <c r="E638" s="30">
        <f t="shared" si="46"/>
        <v>0</v>
      </c>
      <c r="F638" s="31">
        <f t="shared" si="47"/>
        <v>0</v>
      </c>
      <c r="G638" s="32">
        <f t="shared" si="48"/>
        <v>0.10380622837370239</v>
      </c>
      <c r="H638" s="34">
        <f t="shared" si="45"/>
        <v>0.10380622837370239</v>
      </c>
      <c r="I638" s="42"/>
      <c r="J638" s="38"/>
      <c r="K638" s="38"/>
      <c r="L638" s="1"/>
      <c r="M638" s="1"/>
      <c r="N638" s="1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40"/>
      <c r="AE638" s="40"/>
    </row>
    <row r="639" spans="1:31" x14ac:dyDescent="0.25">
      <c r="A639" s="2"/>
      <c r="B639" s="1"/>
      <c r="C639" s="22">
        <v>579</v>
      </c>
      <c r="D639" s="34">
        <f t="shared" si="49"/>
        <v>5.79</v>
      </c>
      <c r="E639" s="30">
        <f t="shared" si="46"/>
        <v>0</v>
      </c>
      <c r="F639" s="31">
        <f t="shared" si="47"/>
        <v>0</v>
      </c>
      <c r="G639" s="32">
        <f t="shared" si="48"/>
        <v>0.10362694300518133</v>
      </c>
      <c r="H639" s="34">
        <f t="shared" si="45"/>
        <v>0.10362694300518133</v>
      </c>
      <c r="I639" s="42"/>
      <c r="J639" s="38"/>
      <c r="K639" s="38"/>
      <c r="L639" s="1"/>
      <c r="M639" s="1"/>
      <c r="N639" s="1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40"/>
      <c r="AE639" s="40"/>
    </row>
    <row r="640" spans="1:31" x14ac:dyDescent="0.25">
      <c r="A640" s="2"/>
      <c r="B640" s="1"/>
      <c r="C640" s="22">
        <v>580</v>
      </c>
      <c r="D640" s="34">
        <f t="shared" si="49"/>
        <v>5.8</v>
      </c>
      <c r="E640" s="30">
        <f t="shared" si="46"/>
        <v>0</v>
      </c>
      <c r="F640" s="31">
        <f t="shared" si="47"/>
        <v>0</v>
      </c>
      <c r="G640" s="32">
        <f t="shared" si="48"/>
        <v>0.10344827586206895</v>
      </c>
      <c r="H640" s="34">
        <f t="shared" si="45"/>
        <v>0.10344827586206895</v>
      </c>
      <c r="I640" s="42"/>
      <c r="J640" s="38"/>
      <c r="K640" s="38"/>
      <c r="L640" s="1"/>
      <c r="M640" s="1"/>
      <c r="N640" s="1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40"/>
      <c r="AE640" s="40"/>
    </row>
    <row r="641" spans="1:31" x14ac:dyDescent="0.25">
      <c r="A641" s="2"/>
      <c r="B641" s="1"/>
      <c r="C641" s="22">
        <v>581</v>
      </c>
      <c r="D641" s="34">
        <f t="shared" si="49"/>
        <v>5.8100000000000005</v>
      </c>
      <c r="E641" s="30">
        <f t="shared" si="46"/>
        <v>0</v>
      </c>
      <c r="F641" s="31">
        <f t="shared" si="47"/>
        <v>0</v>
      </c>
      <c r="G641" s="32">
        <f t="shared" si="48"/>
        <v>0.10327022375215143</v>
      </c>
      <c r="H641" s="34">
        <f t="shared" si="45"/>
        <v>0.10327022375215143</v>
      </c>
      <c r="I641" s="42"/>
      <c r="J641" s="38"/>
      <c r="K641" s="38"/>
      <c r="L641" s="1"/>
      <c r="M641" s="1"/>
      <c r="N641" s="1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40"/>
      <c r="AE641" s="40"/>
    </row>
    <row r="642" spans="1:31" x14ac:dyDescent="0.25">
      <c r="A642" s="2"/>
      <c r="B642" s="1"/>
      <c r="C642" s="22">
        <v>582</v>
      </c>
      <c r="D642" s="34">
        <f t="shared" si="49"/>
        <v>5.82</v>
      </c>
      <c r="E642" s="30">
        <f t="shared" si="46"/>
        <v>0</v>
      </c>
      <c r="F642" s="31">
        <f t="shared" si="47"/>
        <v>0</v>
      </c>
      <c r="G642" s="32">
        <f t="shared" si="48"/>
        <v>0.10309278350515461</v>
      </c>
      <c r="H642" s="34">
        <f t="shared" si="45"/>
        <v>0.10309278350515461</v>
      </c>
      <c r="I642" s="42"/>
      <c r="J642" s="38"/>
      <c r="K642" s="38"/>
      <c r="L642" s="1"/>
      <c r="M642" s="1"/>
      <c r="N642" s="1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40"/>
      <c r="AE642" s="40"/>
    </row>
    <row r="643" spans="1:31" x14ac:dyDescent="0.25">
      <c r="A643" s="2"/>
      <c r="B643" s="1"/>
      <c r="C643" s="22">
        <v>583</v>
      </c>
      <c r="D643" s="34">
        <f t="shared" si="49"/>
        <v>5.83</v>
      </c>
      <c r="E643" s="30">
        <f t="shared" si="46"/>
        <v>0</v>
      </c>
      <c r="F643" s="31">
        <f t="shared" si="47"/>
        <v>0</v>
      </c>
      <c r="G643" s="32">
        <f t="shared" si="48"/>
        <v>0.10291595197255572</v>
      </c>
      <c r="H643" s="34">
        <f t="shared" si="45"/>
        <v>0.10291595197255572</v>
      </c>
      <c r="I643" s="42"/>
      <c r="J643" s="38"/>
      <c r="K643" s="38"/>
      <c r="L643" s="1"/>
      <c r="M643" s="1"/>
      <c r="N643" s="1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40"/>
      <c r="AE643" s="40"/>
    </row>
    <row r="644" spans="1:31" x14ac:dyDescent="0.25">
      <c r="A644" s="2"/>
      <c r="B644" s="1"/>
      <c r="C644" s="22">
        <v>584</v>
      </c>
      <c r="D644" s="34">
        <f t="shared" si="49"/>
        <v>5.84</v>
      </c>
      <c r="E644" s="30">
        <f t="shared" si="46"/>
        <v>0</v>
      </c>
      <c r="F644" s="31">
        <f t="shared" si="47"/>
        <v>0</v>
      </c>
      <c r="G644" s="32">
        <f t="shared" si="48"/>
        <v>0.10273972602739724</v>
      </c>
      <c r="H644" s="34">
        <f t="shared" si="45"/>
        <v>0.10273972602739724</v>
      </c>
      <c r="I644" s="42"/>
      <c r="J644" s="38"/>
      <c r="K644" s="38"/>
      <c r="L644" s="1"/>
      <c r="M644" s="1"/>
      <c r="N644" s="1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40"/>
      <c r="AE644" s="40"/>
    </row>
    <row r="645" spans="1:31" x14ac:dyDescent="0.25">
      <c r="A645" s="2"/>
      <c r="B645" s="1"/>
      <c r="C645" s="22">
        <v>585</v>
      </c>
      <c r="D645" s="34">
        <f t="shared" si="49"/>
        <v>5.8500000000000005</v>
      </c>
      <c r="E645" s="30">
        <f t="shared" si="46"/>
        <v>0</v>
      </c>
      <c r="F645" s="31">
        <f t="shared" si="47"/>
        <v>0</v>
      </c>
      <c r="G645" s="32">
        <f t="shared" si="48"/>
        <v>0.10256410256410253</v>
      </c>
      <c r="H645" s="34">
        <f t="shared" si="45"/>
        <v>0.10256410256410253</v>
      </c>
      <c r="I645" s="42"/>
      <c r="J645" s="38"/>
      <c r="K645" s="38"/>
      <c r="L645" s="1"/>
      <c r="M645" s="1"/>
      <c r="N645" s="1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40"/>
      <c r="AE645" s="40"/>
    </row>
    <row r="646" spans="1:31" x14ac:dyDescent="0.25">
      <c r="A646" s="2"/>
      <c r="B646" s="1"/>
      <c r="C646" s="22">
        <v>586</v>
      </c>
      <c r="D646" s="34">
        <f t="shared" si="49"/>
        <v>5.86</v>
      </c>
      <c r="E646" s="30">
        <f t="shared" si="46"/>
        <v>0</v>
      </c>
      <c r="F646" s="31">
        <f t="shared" si="47"/>
        <v>0</v>
      </c>
      <c r="G646" s="32">
        <f t="shared" si="48"/>
        <v>0.10238907849829348</v>
      </c>
      <c r="H646" s="34">
        <f t="shared" si="45"/>
        <v>0.10238907849829348</v>
      </c>
      <c r="I646" s="42"/>
      <c r="J646" s="38"/>
      <c r="K646" s="38"/>
      <c r="L646" s="1"/>
      <c r="M646" s="1"/>
      <c r="N646" s="1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40"/>
      <c r="AE646" s="40"/>
    </row>
    <row r="647" spans="1:31" x14ac:dyDescent="0.25">
      <c r="A647" s="2"/>
      <c r="B647" s="1"/>
      <c r="C647" s="22">
        <v>587</v>
      </c>
      <c r="D647" s="34">
        <f t="shared" si="49"/>
        <v>5.87</v>
      </c>
      <c r="E647" s="30">
        <f t="shared" si="46"/>
        <v>0</v>
      </c>
      <c r="F647" s="31">
        <f t="shared" si="47"/>
        <v>0</v>
      </c>
      <c r="G647" s="32">
        <f t="shared" si="48"/>
        <v>0.10221465076660986</v>
      </c>
      <c r="H647" s="34">
        <f t="shared" si="45"/>
        <v>0.10221465076660986</v>
      </c>
      <c r="I647" s="42"/>
      <c r="J647" s="38"/>
      <c r="K647" s="38"/>
      <c r="L647" s="1"/>
      <c r="M647" s="1"/>
      <c r="N647" s="1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40"/>
      <c r="AE647" s="40"/>
    </row>
    <row r="648" spans="1:31" x14ac:dyDescent="0.25">
      <c r="A648" s="2"/>
      <c r="B648" s="1"/>
      <c r="C648" s="22">
        <v>588</v>
      </c>
      <c r="D648" s="34">
        <f t="shared" si="49"/>
        <v>5.88</v>
      </c>
      <c r="E648" s="30">
        <f t="shared" si="46"/>
        <v>0</v>
      </c>
      <c r="F648" s="31">
        <f t="shared" si="47"/>
        <v>0</v>
      </c>
      <c r="G648" s="32">
        <f t="shared" si="48"/>
        <v>0.10204081632653059</v>
      </c>
      <c r="H648" s="34">
        <f t="shared" si="45"/>
        <v>0.10204081632653059</v>
      </c>
      <c r="I648" s="42"/>
      <c r="J648" s="38"/>
      <c r="K648" s="38"/>
      <c r="L648" s="1"/>
      <c r="M648" s="1"/>
      <c r="N648" s="1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40"/>
      <c r="AE648" s="40"/>
    </row>
    <row r="649" spans="1:31" x14ac:dyDescent="0.25">
      <c r="A649" s="2"/>
      <c r="B649" s="1"/>
      <c r="C649" s="22">
        <v>589</v>
      </c>
      <c r="D649" s="34">
        <f t="shared" si="49"/>
        <v>5.89</v>
      </c>
      <c r="E649" s="30">
        <f t="shared" si="46"/>
        <v>0</v>
      </c>
      <c r="F649" s="31">
        <f t="shared" si="47"/>
        <v>0</v>
      </c>
      <c r="G649" s="32">
        <f t="shared" si="48"/>
        <v>0.10186757215619692</v>
      </c>
      <c r="H649" s="34">
        <f t="shared" si="45"/>
        <v>0.10186757215619692</v>
      </c>
      <c r="I649" s="42"/>
      <c r="J649" s="38"/>
      <c r="K649" s="38"/>
      <c r="L649" s="1"/>
      <c r="M649" s="1"/>
      <c r="N649" s="1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40"/>
      <c r="AE649" s="40"/>
    </row>
    <row r="650" spans="1:31" x14ac:dyDescent="0.25">
      <c r="A650" s="2"/>
      <c r="B650" s="1"/>
      <c r="C650" s="22">
        <v>590</v>
      </c>
      <c r="D650" s="34">
        <f t="shared" si="49"/>
        <v>5.9</v>
      </c>
      <c r="E650" s="30">
        <f t="shared" si="46"/>
        <v>0</v>
      </c>
      <c r="F650" s="31">
        <f t="shared" si="47"/>
        <v>0</v>
      </c>
      <c r="G650" s="32">
        <f t="shared" si="48"/>
        <v>0.10169491525423725</v>
      </c>
      <c r="H650" s="34">
        <f t="shared" si="45"/>
        <v>0.10169491525423725</v>
      </c>
      <c r="I650" s="42"/>
      <c r="J650" s="38"/>
      <c r="K650" s="38"/>
      <c r="L650" s="1"/>
      <c r="M650" s="1"/>
      <c r="N650" s="1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40"/>
      <c r="AE650" s="40"/>
    </row>
    <row r="651" spans="1:31" x14ac:dyDescent="0.25">
      <c r="A651" s="2"/>
      <c r="B651" s="1"/>
      <c r="C651" s="22">
        <v>591</v>
      </c>
      <c r="D651" s="34">
        <f t="shared" si="49"/>
        <v>5.91</v>
      </c>
      <c r="E651" s="30">
        <f t="shared" si="46"/>
        <v>0</v>
      </c>
      <c r="F651" s="31">
        <f t="shared" si="47"/>
        <v>0</v>
      </c>
      <c r="G651" s="32">
        <f t="shared" si="48"/>
        <v>0.10152284263959388</v>
      </c>
      <c r="H651" s="34">
        <f t="shared" si="45"/>
        <v>0.10152284263959388</v>
      </c>
      <c r="I651" s="42"/>
      <c r="J651" s="38"/>
      <c r="K651" s="38"/>
      <c r="L651" s="1"/>
      <c r="M651" s="1"/>
      <c r="N651" s="1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40"/>
      <c r="AE651" s="40"/>
    </row>
    <row r="652" spans="1:31" x14ac:dyDescent="0.25">
      <c r="A652" s="2"/>
      <c r="B652" s="1"/>
      <c r="C652" s="22">
        <v>592</v>
      </c>
      <c r="D652" s="34">
        <f t="shared" si="49"/>
        <v>5.92</v>
      </c>
      <c r="E652" s="30">
        <f t="shared" si="46"/>
        <v>0</v>
      </c>
      <c r="F652" s="31">
        <f t="shared" si="47"/>
        <v>0</v>
      </c>
      <c r="G652" s="32">
        <f t="shared" si="48"/>
        <v>0.10135135135135133</v>
      </c>
      <c r="H652" s="34">
        <f t="shared" si="45"/>
        <v>0.10135135135135133</v>
      </c>
      <c r="I652" s="42"/>
      <c r="J652" s="38"/>
      <c r="K652" s="38"/>
      <c r="L652" s="1"/>
      <c r="M652" s="1"/>
      <c r="N652" s="1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40"/>
      <c r="AE652" s="40"/>
    </row>
    <row r="653" spans="1:31" x14ac:dyDescent="0.25">
      <c r="A653" s="2"/>
      <c r="B653" s="1"/>
      <c r="C653" s="22">
        <v>593</v>
      </c>
      <c r="D653" s="34">
        <f t="shared" si="49"/>
        <v>5.93</v>
      </c>
      <c r="E653" s="30">
        <f t="shared" si="46"/>
        <v>0</v>
      </c>
      <c r="F653" s="31">
        <f t="shared" si="47"/>
        <v>0</v>
      </c>
      <c r="G653" s="32">
        <f t="shared" si="48"/>
        <v>0.1011804384485666</v>
      </c>
      <c r="H653" s="34">
        <f t="shared" si="45"/>
        <v>0.1011804384485666</v>
      </c>
      <c r="I653" s="42"/>
      <c r="J653" s="38"/>
      <c r="K653" s="38"/>
      <c r="L653" s="1"/>
      <c r="M653" s="1"/>
      <c r="N653" s="1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40"/>
      <c r="AE653" s="40"/>
    </row>
    <row r="654" spans="1:31" x14ac:dyDescent="0.25">
      <c r="A654" s="2"/>
      <c r="B654" s="1"/>
      <c r="C654" s="22">
        <v>594</v>
      </c>
      <c r="D654" s="34">
        <f t="shared" si="49"/>
        <v>5.94</v>
      </c>
      <c r="E654" s="30">
        <f t="shared" si="46"/>
        <v>0</v>
      </c>
      <c r="F654" s="31">
        <f t="shared" si="47"/>
        <v>0</v>
      </c>
      <c r="G654" s="32">
        <f t="shared" si="48"/>
        <v>0.10101010101010098</v>
      </c>
      <c r="H654" s="34">
        <f t="shared" si="45"/>
        <v>0.10101010101010098</v>
      </c>
      <c r="I654" s="42"/>
      <c r="J654" s="38"/>
      <c r="K654" s="38"/>
      <c r="L654" s="1"/>
      <c r="M654" s="1"/>
      <c r="N654" s="1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40"/>
      <c r="AE654" s="40"/>
    </row>
    <row r="655" spans="1:31" x14ac:dyDescent="0.25">
      <c r="A655" s="2"/>
      <c r="B655" s="1"/>
      <c r="C655" s="22">
        <v>595</v>
      </c>
      <c r="D655" s="34">
        <f t="shared" si="49"/>
        <v>5.95</v>
      </c>
      <c r="E655" s="30">
        <f t="shared" si="46"/>
        <v>0</v>
      </c>
      <c r="F655" s="31">
        <f t="shared" si="47"/>
        <v>0</v>
      </c>
      <c r="G655" s="32">
        <f t="shared" si="48"/>
        <v>0.10084033613445376</v>
      </c>
      <c r="H655" s="34">
        <f t="shared" si="45"/>
        <v>0.10084033613445376</v>
      </c>
      <c r="I655" s="42"/>
      <c r="J655" s="38"/>
      <c r="K655" s="38"/>
      <c r="L655" s="1"/>
      <c r="M655" s="1"/>
      <c r="N655" s="1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40"/>
      <c r="AE655" s="40"/>
    </row>
    <row r="656" spans="1:31" x14ac:dyDescent="0.25">
      <c r="A656" s="2"/>
      <c r="B656" s="1"/>
      <c r="C656" s="22">
        <v>596</v>
      </c>
      <c r="D656" s="34">
        <f t="shared" si="49"/>
        <v>5.96</v>
      </c>
      <c r="E656" s="30">
        <f t="shared" si="46"/>
        <v>0</v>
      </c>
      <c r="F656" s="31">
        <f t="shared" si="47"/>
        <v>0</v>
      </c>
      <c r="G656" s="32">
        <f t="shared" si="48"/>
        <v>0.1006711409395973</v>
      </c>
      <c r="H656" s="34">
        <f t="shared" si="45"/>
        <v>0.1006711409395973</v>
      </c>
      <c r="I656" s="42"/>
      <c r="J656" s="38"/>
      <c r="K656" s="38"/>
      <c r="L656" s="1"/>
      <c r="M656" s="1"/>
      <c r="N656" s="1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40"/>
      <c r="AE656" s="40"/>
    </row>
    <row r="657" spans="1:31" x14ac:dyDescent="0.25">
      <c r="A657" s="2"/>
      <c r="B657" s="1"/>
      <c r="C657" s="22">
        <v>597</v>
      </c>
      <c r="D657" s="34">
        <f t="shared" si="49"/>
        <v>5.97</v>
      </c>
      <c r="E657" s="30">
        <f t="shared" si="46"/>
        <v>0</v>
      </c>
      <c r="F657" s="31">
        <f t="shared" si="47"/>
        <v>0</v>
      </c>
      <c r="G657" s="32">
        <f t="shared" si="48"/>
        <v>0.10050251256281405</v>
      </c>
      <c r="H657" s="34">
        <f t="shared" si="45"/>
        <v>0.10050251256281405</v>
      </c>
      <c r="I657" s="42"/>
      <c r="J657" s="38"/>
      <c r="K657" s="38"/>
      <c r="L657" s="1"/>
      <c r="M657" s="1"/>
      <c r="N657" s="1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40"/>
      <c r="AE657" s="40"/>
    </row>
    <row r="658" spans="1:31" x14ac:dyDescent="0.25">
      <c r="A658" s="2"/>
      <c r="B658" s="1"/>
      <c r="C658" s="22">
        <v>598</v>
      </c>
      <c r="D658" s="34">
        <f t="shared" si="49"/>
        <v>5.98</v>
      </c>
      <c r="E658" s="30">
        <f t="shared" si="46"/>
        <v>0</v>
      </c>
      <c r="F658" s="31">
        <f t="shared" si="47"/>
        <v>0</v>
      </c>
      <c r="G658" s="32">
        <f t="shared" si="48"/>
        <v>0.10033444816053509</v>
      </c>
      <c r="H658" s="34">
        <f t="shared" si="45"/>
        <v>0.10033444816053509</v>
      </c>
      <c r="I658" s="42"/>
      <c r="J658" s="38"/>
      <c r="K658" s="38"/>
      <c r="L658" s="1"/>
      <c r="M658" s="1"/>
      <c r="N658" s="1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40"/>
      <c r="AE658" s="40"/>
    </row>
    <row r="659" spans="1:31" x14ac:dyDescent="0.25">
      <c r="A659" s="2"/>
      <c r="B659" s="1"/>
      <c r="C659" s="22">
        <v>599</v>
      </c>
      <c r="D659" s="34">
        <f t="shared" si="49"/>
        <v>5.99</v>
      </c>
      <c r="E659" s="30">
        <f t="shared" si="46"/>
        <v>0</v>
      </c>
      <c r="F659" s="31">
        <f t="shared" si="47"/>
        <v>0</v>
      </c>
      <c r="G659" s="32">
        <f t="shared" si="48"/>
        <v>0.10016694490818027</v>
      </c>
      <c r="H659" s="34">
        <f t="shared" si="45"/>
        <v>0.10016694490818027</v>
      </c>
      <c r="I659" s="42"/>
      <c r="J659" s="38"/>
      <c r="K659" s="38"/>
      <c r="L659" s="1"/>
      <c r="M659" s="1"/>
      <c r="N659" s="1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40"/>
      <c r="AE659" s="40"/>
    </row>
    <row r="660" spans="1:31" x14ac:dyDescent="0.25">
      <c r="A660" s="2"/>
      <c r="B660" s="1"/>
      <c r="C660" s="22">
        <v>600</v>
      </c>
      <c r="D660" s="34">
        <f t="shared" si="49"/>
        <v>6</v>
      </c>
      <c r="E660" s="30">
        <f t="shared" si="46"/>
        <v>0</v>
      </c>
      <c r="F660" s="31">
        <f t="shared" si="47"/>
        <v>0</v>
      </c>
      <c r="G660" s="32">
        <f t="shared" si="48"/>
        <v>9.9999999999999978E-2</v>
      </c>
      <c r="H660" s="34">
        <f t="shared" si="45"/>
        <v>9.9999999999999978E-2</v>
      </c>
      <c r="I660" s="42"/>
      <c r="J660" s="38"/>
      <c r="K660" s="38"/>
      <c r="L660" s="1"/>
      <c r="M660" s="1"/>
      <c r="N660" s="1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40"/>
      <c r="AE660" s="40"/>
    </row>
    <row r="661" spans="1:31" x14ac:dyDescent="0.25">
      <c r="A661" s="2"/>
      <c r="B661" s="1"/>
      <c r="C661" s="22">
        <v>601</v>
      </c>
      <c r="D661" s="34">
        <f t="shared" si="49"/>
        <v>6.01</v>
      </c>
      <c r="E661" s="30">
        <f t="shared" si="46"/>
        <v>0</v>
      </c>
      <c r="F661" s="31">
        <f t="shared" si="47"/>
        <v>0</v>
      </c>
      <c r="G661" s="32">
        <f t="shared" si="48"/>
        <v>9.983361064891845E-2</v>
      </c>
      <c r="H661" s="34">
        <f t="shared" si="45"/>
        <v>9.983361064891845E-2</v>
      </c>
      <c r="I661" s="42"/>
      <c r="J661" s="38"/>
      <c r="K661" s="38"/>
      <c r="L661" s="1"/>
      <c r="M661" s="1"/>
      <c r="N661" s="1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40"/>
      <c r="AE661" s="40"/>
    </row>
    <row r="662" spans="1:31" x14ac:dyDescent="0.25">
      <c r="A662" s="2"/>
      <c r="B662" s="1"/>
      <c r="C662" s="22">
        <v>602</v>
      </c>
      <c r="D662" s="34">
        <f t="shared" si="49"/>
        <v>6.0200000000000005</v>
      </c>
      <c r="E662" s="30">
        <f t="shared" si="46"/>
        <v>0</v>
      </c>
      <c r="F662" s="31">
        <f t="shared" si="47"/>
        <v>0</v>
      </c>
      <c r="G662" s="32">
        <f t="shared" si="48"/>
        <v>9.966777408637871E-2</v>
      </c>
      <c r="H662" s="34">
        <f t="shared" si="45"/>
        <v>9.966777408637871E-2</v>
      </c>
      <c r="I662" s="42"/>
      <c r="J662" s="38"/>
      <c r="K662" s="38"/>
      <c r="L662" s="1"/>
      <c r="M662" s="1"/>
      <c r="N662" s="1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40"/>
      <c r="AE662" s="40"/>
    </row>
    <row r="663" spans="1:31" x14ac:dyDescent="0.25">
      <c r="A663" s="2"/>
      <c r="B663" s="1"/>
      <c r="C663" s="22">
        <v>603</v>
      </c>
      <c r="D663" s="34">
        <f t="shared" si="49"/>
        <v>6.03</v>
      </c>
      <c r="E663" s="30">
        <f t="shared" si="46"/>
        <v>0</v>
      </c>
      <c r="F663" s="31">
        <f t="shared" si="47"/>
        <v>0</v>
      </c>
      <c r="G663" s="32">
        <f t="shared" si="48"/>
        <v>9.9502487562189032E-2</v>
      </c>
      <c r="H663" s="34">
        <f t="shared" si="45"/>
        <v>9.9502487562189032E-2</v>
      </c>
      <c r="I663" s="42"/>
      <c r="J663" s="38"/>
      <c r="K663" s="38"/>
      <c r="L663" s="1"/>
      <c r="M663" s="1"/>
      <c r="N663" s="1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40"/>
      <c r="AE663" s="40"/>
    </row>
    <row r="664" spans="1:31" x14ac:dyDescent="0.25">
      <c r="A664" s="2"/>
      <c r="B664" s="1"/>
      <c r="C664" s="22">
        <v>604</v>
      </c>
      <c r="D664" s="34">
        <f t="shared" si="49"/>
        <v>6.04</v>
      </c>
      <c r="E664" s="30">
        <f t="shared" si="46"/>
        <v>0</v>
      </c>
      <c r="F664" s="31">
        <f t="shared" si="47"/>
        <v>0</v>
      </c>
      <c r="G664" s="32">
        <f t="shared" si="48"/>
        <v>9.9337748344370841E-2</v>
      </c>
      <c r="H664" s="34">
        <f t="shared" si="45"/>
        <v>9.9337748344370841E-2</v>
      </c>
      <c r="I664" s="42"/>
      <c r="J664" s="38"/>
      <c r="K664" s="38"/>
      <c r="L664" s="1"/>
      <c r="M664" s="1"/>
      <c r="N664" s="1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40"/>
      <c r="AE664" s="40"/>
    </row>
    <row r="665" spans="1:31" x14ac:dyDescent="0.25">
      <c r="A665" s="2"/>
      <c r="B665" s="1"/>
      <c r="C665" s="22">
        <v>605</v>
      </c>
      <c r="D665" s="34">
        <f t="shared" si="49"/>
        <v>6.05</v>
      </c>
      <c r="E665" s="30">
        <f t="shared" si="46"/>
        <v>0</v>
      </c>
      <c r="F665" s="31">
        <f t="shared" si="47"/>
        <v>0</v>
      </c>
      <c r="G665" s="32">
        <f t="shared" si="48"/>
        <v>9.9173553719008239E-2</v>
      </c>
      <c r="H665" s="34">
        <f t="shared" si="45"/>
        <v>9.9173553719008239E-2</v>
      </c>
      <c r="I665" s="42"/>
      <c r="J665" s="38"/>
      <c r="K665" s="38"/>
      <c r="L665" s="1"/>
      <c r="M665" s="1"/>
      <c r="N665" s="1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40"/>
      <c r="AE665" s="40"/>
    </row>
    <row r="666" spans="1:31" x14ac:dyDescent="0.25">
      <c r="A666" s="2"/>
      <c r="B666" s="1"/>
      <c r="C666" s="22">
        <v>606</v>
      </c>
      <c r="D666" s="34">
        <f t="shared" si="49"/>
        <v>6.0600000000000005</v>
      </c>
      <c r="E666" s="30">
        <f t="shared" si="46"/>
        <v>0</v>
      </c>
      <c r="F666" s="31">
        <f t="shared" si="47"/>
        <v>0</v>
      </c>
      <c r="G666" s="32">
        <f t="shared" si="48"/>
        <v>9.9009900990098973E-2</v>
      </c>
      <c r="H666" s="34">
        <f t="shared" si="45"/>
        <v>9.9009900990098973E-2</v>
      </c>
      <c r="I666" s="42"/>
      <c r="J666" s="38"/>
      <c r="K666" s="38"/>
      <c r="L666" s="1"/>
      <c r="M666" s="1"/>
      <c r="N666" s="1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40"/>
      <c r="AE666" s="40"/>
    </row>
    <row r="667" spans="1:31" x14ac:dyDescent="0.25">
      <c r="A667" s="2"/>
      <c r="B667" s="1"/>
      <c r="C667" s="22">
        <v>607</v>
      </c>
      <c r="D667" s="34">
        <f t="shared" si="49"/>
        <v>6.07</v>
      </c>
      <c r="E667" s="30">
        <f t="shared" si="46"/>
        <v>0</v>
      </c>
      <c r="F667" s="31">
        <f t="shared" si="47"/>
        <v>0</v>
      </c>
      <c r="G667" s="32">
        <f t="shared" si="48"/>
        <v>9.8846787479406895E-2</v>
      </c>
      <c r="H667" s="34">
        <f t="shared" si="45"/>
        <v>9.8846787479406895E-2</v>
      </c>
      <c r="I667" s="42"/>
      <c r="J667" s="38"/>
      <c r="K667" s="38"/>
      <c r="L667" s="1"/>
      <c r="M667" s="1"/>
      <c r="N667" s="1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40"/>
      <c r="AE667" s="40"/>
    </row>
    <row r="668" spans="1:31" x14ac:dyDescent="0.25">
      <c r="A668" s="2"/>
      <c r="B668" s="1"/>
      <c r="C668" s="22">
        <v>608</v>
      </c>
      <c r="D668" s="34">
        <f t="shared" si="49"/>
        <v>6.08</v>
      </c>
      <c r="E668" s="30">
        <f t="shared" si="46"/>
        <v>0</v>
      </c>
      <c r="F668" s="31">
        <f t="shared" si="47"/>
        <v>0</v>
      </c>
      <c r="G668" s="32">
        <f t="shared" si="48"/>
        <v>9.8684210526315763E-2</v>
      </c>
      <c r="H668" s="34">
        <f t="shared" si="45"/>
        <v>9.8684210526315763E-2</v>
      </c>
      <c r="I668" s="42"/>
      <c r="J668" s="38"/>
      <c r="K668" s="38"/>
      <c r="L668" s="1"/>
      <c r="M668" s="1"/>
      <c r="N668" s="1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40"/>
      <c r="AE668" s="40"/>
    </row>
    <row r="669" spans="1:31" x14ac:dyDescent="0.25">
      <c r="A669" s="2"/>
      <c r="B669" s="1"/>
      <c r="C669" s="22">
        <v>609</v>
      </c>
      <c r="D669" s="34">
        <f t="shared" si="49"/>
        <v>6.09</v>
      </c>
      <c r="E669" s="30">
        <f t="shared" si="46"/>
        <v>0</v>
      </c>
      <c r="F669" s="31">
        <f t="shared" si="47"/>
        <v>0</v>
      </c>
      <c r="G669" s="32">
        <f t="shared" si="48"/>
        <v>9.8522167487684706E-2</v>
      </c>
      <c r="H669" s="34">
        <f t="shared" si="45"/>
        <v>9.8522167487684706E-2</v>
      </c>
      <c r="I669" s="42"/>
      <c r="J669" s="38"/>
      <c r="K669" s="38"/>
      <c r="L669" s="1"/>
      <c r="M669" s="1"/>
      <c r="N669" s="1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40"/>
      <c r="AE669" s="40"/>
    </row>
    <row r="670" spans="1:31" x14ac:dyDescent="0.25">
      <c r="A670" s="2"/>
      <c r="B670" s="1"/>
      <c r="C670" s="22">
        <v>610</v>
      </c>
      <c r="D670" s="34">
        <f t="shared" si="49"/>
        <v>6.1000000000000005</v>
      </c>
      <c r="E670" s="30">
        <f t="shared" si="46"/>
        <v>0</v>
      </c>
      <c r="F670" s="31">
        <f t="shared" si="47"/>
        <v>0</v>
      </c>
      <c r="G670" s="32">
        <f t="shared" si="48"/>
        <v>9.8360655737704888E-2</v>
      </c>
      <c r="H670" s="34">
        <f t="shared" si="45"/>
        <v>9.8360655737704888E-2</v>
      </c>
      <c r="I670" s="42"/>
      <c r="J670" s="38"/>
      <c r="K670" s="38"/>
      <c r="L670" s="1"/>
      <c r="M670" s="1"/>
      <c r="N670" s="1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40"/>
      <c r="AE670" s="40"/>
    </row>
    <row r="671" spans="1:31" x14ac:dyDescent="0.25">
      <c r="A671" s="2"/>
      <c r="B671" s="1"/>
      <c r="C671" s="22">
        <v>611</v>
      </c>
      <c r="D671" s="34">
        <f t="shared" si="49"/>
        <v>6.11</v>
      </c>
      <c r="E671" s="30">
        <f t="shared" si="46"/>
        <v>0</v>
      </c>
      <c r="F671" s="31">
        <f t="shared" si="47"/>
        <v>0</v>
      </c>
      <c r="G671" s="32">
        <f t="shared" si="48"/>
        <v>9.8199672667757754E-2</v>
      </c>
      <c r="H671" s="34">
        <f t="shared" si="45"/>
        <v>9.8199672667757754E-2</v>
      </c>
      <c r="I671" s="42"/>
      <c r="J671" s="38"/>
      <c r="K671" s="38"/>
      <c r="L671" s="1"/>
      <c r="M671" s="1"/>
      <c r="N671" s="1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40"/>
      <c r="AE671" s="40"/>
    </row>
    <row r="672" spans="1:31" x14ac:dyDescent="0.25">
      <c r="A672" s="2"/>
      <c r="B672" s="1"/>
      <c r="C672" s="22">
        <v>612</v>
      </c>
      <c r="D672" s="34">
        <f t="shared" si="49"/>
        <v>6.12</v>
      </c>
      <c r="E672" s="30">
        <f t="shared" si="46"/>
        <v>0</v>
      </c>
      <c r="F672" s="31">
        <f t="shared" si="47"/>
        <v>0</v>
      </c>
      <c r="G672" s="32">
        <f t="shared" si="48"/>
        <v>9.8039215686274481E-2</v>
      </c>
      <c r="H672" s="34">
        <f t="shared" si="45"/>
        <v>9.8039215686274481E-2</v>
      </c>
      <c r="I672" s="42"/>
      <c r="J672" s="38"/>
      <c r="K672" s="38"/>
      <c r="L672" s="1"/>
      <c r="M672" s="1"/>
      <c r="N672" s="1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40"/>
      <c r="AE672" s="40"/>
    </row>
    <row r="673" spans="1:31" x14ac:dyDescent="0.25">
      <c r="A673" s="2"/>
      <c r="B673" s="1"/>
      <c r="C673" s="22">
        <v>613</v>
      </c>
      <c r="D673" s="34">
        <f t="shared" si="49"/>
        <v>6.13</v>
      </c>
      <c r="E673" s="30">
        <f t="shared" si="46"/>
        <v>0</v>
      </c>
      <c r="F673" s="31">
        <f t="shared" si="47"/>
        <v>0</v>
      </c>
      <c r="G673" s="32">
        <f t="shared" si="48"/>
        <v>9.7879282218597041E-2</v>
      </c>
      <c r="H673" s="34">
        <f t="shared" ref="H673:H736" si="50">SUM(E673:G673)</f>
        <v>9.7879282218597041E-2</v>
      </c>
      <c r="I673" s="42"/>
      <c r="J673" s="38"/>
      <c r="K673" s="38"/>
      <c r="L673" s="1"/>
      <c r="M673" s="1"/>
      <c r="N673" s="1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40"/>
      <c r="AE673" s="40"/>
    </row>
    <row r="674" spans="1:31" x14ac:dyDescent="0.25">
      <c r="A674" s="2"/>
      <c r="B674" s="1"/>
      <c r="C674" s="22">
        <v>614</v>
      </c>
      <c r="D674" s="34">
        <f t="shared" si="49"/>
        <v>6.1400000000000006</v>
      </c>
      <c r="E674" s="30">
        <f t="shared" si="46"/>
        <v>0</v>
      </c>
      <c r="F674" s="31">
        <f t="shared" si="47"/>
        <v>0</v>
      </c>
      <c r="G674" s="32">
        <f t="shared" si="48"/>
        <v>9.7719869706840365E-2</v>
      </c>
      <c r="H674" s="34">
        <f t="shared" si="50"/>
        <v>9.7719869706840365E-2</v>
      </c>
      <c r="I674" s="42"/>
      <c r="J674" s="38"/>
      <c r="K674" s="38"/>
      <c r="L674" s="1"/>
      <c r="M674" s="1"/>
      <c r="N674" s="1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40"/>
      <c r="AE674" s="40"/>
    </row>
    <row r="675" spans="1:31" x14ac:dyDescent="0.25">
      <c r="A675" s="2"/>
      <c r="B675" s="1"/>
      <c r="C675" s="22">
        <v>615</v>
      </c>
      <c r="D675" s="34">
        <f t="shared" si="49"/>
        <v>6.15</v>
      </c>
      <c r="E675" s="30">
        <f t="shared" si="46"/>
        <v>0</v>
      </c>
      <c r="F675" s="31">
        <f t="shared" si="47"/>
        <v>0</v>
      </c>
      <c r="G675" s="32">
        <f t="shared" si="48"/>
        <v>9.7560975609756073E-2</v>
      </c>
      <c r="H675" s="34">
        <f t="shared" si="50"/>
        <v>9.7560975609756073E-2</v>
      </c>
      <c r="I675" s="42"/>
      <c r="J675" s="38"/>
      <c r="K675" s="38"/>
      <c r="L675" s="1"/>
      <c r="M675" s="1"/>
      <c r="N675" s="1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40"/>
      <c r="AE675" s="40"/>
    </row>
    <row r="676" spans="1:31" x14ac:dyDescent="0.25">
      <c r="A676" s="2"/>
      <c r="B676" s="1"/>
      <c r="C676" s="22">
        <v>616</v>
      </c>
      <c r="D676" s="34">
        <f t="shared" si="49"/>
        <v>6.16</v>
      </c>
      <c r="E676" s="30">
        <f t="shared" si="46"/>
        <v>0</v>
      </c>
      <c r="F676" s="31">
        <f t="shared" si="47"/>
        <v>0</v>
      </c>
      <c r="G676" s="32">
        <f t="shared" si="48"/>
        <v>9.740259740259738E-2</v>
      </c>
      <c r="H676" s="34">
        <f t="shared" si="50"/>
        <v>9.740259740259738E-2</v>
      </c>
      <c r="I676" s="42"/>
      <c r="J676" s="38"/>
      <c r="K676" s="38"/>
      <c r="L676" s="1"/>
      <c r="M676" s="1"/>
      <c r="N676" s="1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40"/>
      <c r="AE676" s="40"/>
    </row>
    <row r="677" spans="1:31" x14ac:dyDescent="0.25">
      <c r="A677" s="2"/>
      <c r="B677" s="1"/>
      <c r="C677" s="22">
        <v>617</v>
      </c>
      <c r="D677" s="34">
        <f t="shared" si="49"/>
        <v>6.17</v>
      </c>
      <c r="E677" s="30">
        <f t="shared" si="46"/>
        <v>0</v>
      </c>
      <c r="F677" s="31">
        <f t="shared" si="47"/>
        <v>0</v>
      </c>
      <c r="G677" s="32">
        <f t="shared" si="48"/>
        <v>9.724473257698539E-2</v>
      </c>
      <c r="H677" s="34">
        <f t="shared" si="50"/>
        <v>9.724473257698539E-2</v>
      </c>
      <c r="I677" s="42"/>
      <c r="J677" s="38"/>
      <c r="K677" s="38"/>
      <c r="L677" s="1"/>
      <c r="M677" s="1"/>
      <c r="N677" s="1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40"/>
      <c r="AE677" s="40"/>
    </row>
    <row r="678" spans="1:31" x14ac:dyDescent="0.25">
      <c r="A678" s="2"/>
      <c r="B678" s="1"/>
      <c r="C678" s="22">
        <v>618</v>
      </c>
      <c r="D678" s="34">
        <f t="shared" si="49"/>
        <v>6.18</v>
      </c>
      <c r="E678" s="30">
        <f t="shared" si="46"/>
        <v>0</v>
      </c>
      <c r="F678" s="31">
        <f t="shared" si="47"/>
        <v>0</v>
      </c>
      <c r="G678" s="32">
        <f t="shared" si="48"/>
        <v>9.7087378640776684E-2</v>
      </c>
      <c r="H678" s="34">
        <f t="shared" si="50"/>
        <v>9.7087378640776684E-2</v>
      </c>
      <c r="I678" s="42"/>
      <c r="J678" s="38"/>
      <c r="K678" s="38"/>
      <c r="L678" s="1"/>
      <c r="M678" s="1"/>
      <c r="N678" s="1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40"/>
      <c r="AE678" s="40"/>
    </row>
    <row r="679" spans="1:31" x14ac:dyDescent="0.25">
      <c r="A679" s="2"/>
      <c r="B679" s="1"/>
      <c r="C679" s="22">
        <v>619</v>
      </c>
      <c r="D679" s="34">
        <f t="shared" si="49"/>
        <v>6.19</v>
      </c>
      <c r="E679" s="30">
        <f t="shared" si="46"/>
        <v>0</v>
      </c>
      <c r="F679" s="31">
        <f t="shared" si="47"/>
        <v>0</v>
      </c>
      <c r="G679" s="32">
        <f t="shared" si="48"/>
        <v>9.6930533117932122E-2</v>
      </c>
      <c r="H679" s="34">
        <f t="shared" si="50"/>
        <v>9.6930533117932122E-2</v>
      </c>
      <c r="I679" s="42"/>
      <c r="J679" s="38"/>
      <c r="K679" s="38"/>
      <c r="L679" s="1"/>
      <c r="M679" s="1"/>
      <c r="N679" s="1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40"/>
      <c r="AE679" s="40"/>
    </row>
    <row r="680" spans="1:31" x14ac:dyDescent="0.25">
      <c r="A680" s="2"/>
      <c r="B680" s="1"/>
      <c r="C680" s="22">
        <v>620</v>
      </c>
      <c r="D680" s="34">
        <f t="shared" si="49"/>
        <v>6.2</v>
      </c>
      <c r="E680" s="30">
        <f t="shared" si="46"/>
        <v>0</v>
      </c>
      <c r="F680" s="31">
        <f t="shared" si="47"/>
        <v>0</v>
      </c>
      <c r="G680" s="32">
        <f t="shared" si="48"/>
        <v>9.6774193548387066E-2</v>
      </c>
      <c r="H680" s="34">
        <f t="shared" si="50"/>
        <v>9.6774193548387066E-2</v>
      </c>
      <c r="I680" s="42"/>
      <c r="J680" s="38"/>
      <c r="K680" s="38"/>
      <c r="L680" s="1"/>
      <c r="M680" s="1"/>
      <c r="N680" s="1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40"/>
      <c r="AE680" s="40"/>
    </row>
    <row r="681" spans="1:31" x14ac:dyDescent="0.25">
      <c r="A681" s="2"/>
      <c r="B681" s="1"/>
      <c r="C681" s="22">
        <v>621</v>
      </c>
      <c r="D681" s="34">
        <f t="shared" si="49"/>
        <v>6.21</v>
      </c>
      <c r="E681" s="30">
        <f t="shared" si="46"/>
        <v>0</v>
      </c>
      <c r="F681" s="31">
        <f t="shared" si="47"/>
        <v>0</v>
      </c>
      <c r="G681" s="32">
        <f t="shared" si="48"/>
        <v>9.661835748792269E-2</v>
      </c>
      <c r="H681" s="34">
        <f t="shared" si="50"/>
        <v>9.661835748792269E-2</v>
      </c>
      <c r="I681" s="42"/>
      <c r="J681" s="38"/>
      <c r="K681" s="38"/>
      <c r="L681" s="1"/>
      <c r="M681" s="1"/>
      <c r="N681" s="1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40"/>
      <c r="AE681" s="40"/>
    </row>
    <row r="682" spans="1:31" x14ac:dyDescent="0.25">
      <c r="A682" s="2"/>
      <c r="B682" s="1"/>
      <c r="C682" s="22">
        <v>622</v>
      </c>
      <c r="D682" s="34">
        <f t="shared" si="49"/>
        <v>6.22</v>
      </c>
      <c r="E682" s="30">
        <f t="shared" si="46"/>
        <v>0</v>
      </c>
      <c r="F682" s="31">
        <f t="shared" si="47"/>
        <v>0</v>
      </c>
      <c r="G682" s="32">
        <f t="shared" si="48"/>
        <v>9.6463022508038565E-2</v>
      </c>
      <c r="H682" s="34">
        <f t="shared" si="50"/>
        <v>9.6463022508038565E-2</v>
      </c>
      <c r="I682" s="42"/>
      <c r="J682" s="38"/>
      <c r="K682" s="38"/>
      <c r="L682" s="1"/>
      <c r="M682" s="1"/>
      <c r="N682" s="1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40"/>
      <c r="AE682" s="40"/>
    </row>
    <row r="683" spans="1:31" x14ac:dyDescent="0.25">
      <c r="A683" s="2"/>
      <c r="B683" s="1"/>
      <c r="C683" s="22">
        <v>623</v>
      </c>
      <c r="D683" s="34">
        <f t="shared" si="49"/>
        <v>6.23</v>
      </c>
      <c r="E683" s="30">
        <f t="shared" si="46"/>
        <v>0</v>
      </c>
      <c r="F683" s="31">
        <f t="shared" si="47"/>
        <v>0</v>
      </c>
      <c r="G683" s="32">
        <f t="shared" si="48"/>
        <v>9.6308186195826623E-2</v>
      </c>
      <c r="H683" s="34">
        <f t="shared" si="50"/>
        <v>9.6308186195826623E-2</v>
      </c>
      <c r="I683" s="42"/>
      <c r="J683" s="38"/>
      <c r="K683" s="38"/>
      <c r="L683" s="1"/>
      <c r="M683" s="1"/>
      <c r="N683" s="1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40"/>
      <c r="AE683" s="40"/>
    </row>
    <row r="684" spans="1:31" x14ac:dyDescent="0.25">
      <c r="A684" s="2"/>
      <c r="B684" s="1"/>
      <c r="C684" s="22">
        <v>624</v>
      </c>
      <c r="D684" s="34">
        <f t="shared" si="49"/>
        <v>6.24</v>
      </c>
      <c r="E684" s="30">
        <f t="shared" si="46"/>
        <v>0</v>
      </c>
      <c r="F684" s="31">
        <f t="shared" si="47"/>
        <v>0</v>
      </c>
      <c r="G684" s="32">
        <f t="shared" si="48"/>
        <v>9.6153846153846131E-2</v>
      </c>
      <c r="H684" s="34">
        <f t="shared" si="50"/>
        <v>9.6153846153846131E-2</v>
      </c>
      <c r="I684" s="42"/>
      <c r="J684" s="38"/>
      <c r="K684" s="38"/>
      <c r="L684" s="1"/>
      <c r="M684" s="1"/>
      <c r="N684" s="1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40"/>
      <c r="AE684" s="40"/>
    </row>
    <row r="685" spans="1:31" x14ac:dyDescent="0.25">
      <c r="A685" s="2"/>
      <c r="B685" s="1"/>
      <c r="C685" s="22">
        <v>625</v>
      </c>
      <c r="D685" s="34">
        <f t="shared" si="49"/>
        <v>6.25</v>
      </c>
      <c r="E685" s="30">
        <f t="shared" si="46"/>
        <v>0</v>
      </c>
      <c r="F685" s="31">
        <f t="shared" si="47"/>
        <v>0</v>
      </c>
      <c r="G685" s="32">
        <f t="shared" si="48"/>
        <v>9.5999999999999974E-2</v>
      </c>
      <c r="H685" s="34">
        <f t="shared" si="50"/>
        <v>9.5999999999999974E-2</v>
      </c>
      <c r="I685" s="42"/>
      <c r="J685" s="38"/>
      <c r="K685" s="38"/>
      <c r="L685" s="1"/>
      <c r="M685" s="1"/>
      <c r="N685" s="1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40"/>
      <c r="AE685" s="40"/>
    </row>
    <row r="686" spans="1:31" x14ac:dyDescent="0.25">
      <c r="A686" s="2"/>
      <c r="B686" s="1"/>
      <c r="C686" s="22">
        <v>626</v>
      </c>
      <c r="D686" s="34">
        <f t="shared" si="49"/>
        <v>6.26</v>
      </c>
      <c r="E686" s="30">
        <f t="shared" si="46"/>
        <v>0</v>
      </c>
      <c r="F686" s="31">
        <f t="shared" si="47"/>
        <v>0</v>
      </c>
      <c r="G686" s="32">
        <f t="shared" si="48"/>
        <v>9.5846645367412123E-2</v>
      </c>
      <c r="H686" s="34">
        <f t="shared" si="50"/>
        <v>9.5846645367412123E-2</v>
      </c>
      <c r="I686" s="42"/>
      <c r="J686" s="38"/>
      <c r="K686" s="38"/>
      <c r="L686" s="1"/>
      <c r="M686" s="1"/>
      <c r="N686" s="1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40"/>
      <c r="AE686" s="40"/>
    </row>
    <row r="687" spans="1:31" x14ac:dyDescent="0.25">
      <c r="A687" s="2"/>
      <c r="B687" s="1"/>
      <c r="C687" s="22">
        <v>627</v>
      </c>
      <c r="D687" s="34">
        <f t="shared" si="49"/>
        <v>6.2700000000000005</v>
      </c>
      <c r="E687" s="30">
        <f t="shared" si="46"/>
        <v>0</v>
      </c>
      <c r="F687" s="31">
        <f t="shared" si="47"/>
        <v>0</v>
      </c>
      <c r="G687" s="32">
        <f t="shared" si="48"/>
        <v>9.5693779904306192E-2</v>
      </c>
      <c r="H687" s="34">
        <f t="shared" si="50"/>
        <v>9.5693779904306192E-2</v>
      </c>
      <c r="I687" s="42"/>
      <c r="J687" s="38"/>
      <c r="K687" s="38"/>
      <c r="L687" s="1"/>
      <c r="M687" s="1"/>
      <c r="N687" s="1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40"/>
      <c r="AE687" s="40"/>
    </row>
    <row r="688" spans="1:31" x14ac:dyDescent="0.25">
      <c r="A688" s="2"/>
      <c r="B688" s="1"/>
      <c r="C688" s="22">
        <v>628</v>
      </c>
      <c r="D688" s="34">
        <f t="shared" si="49"/>
        <v>6.28</v>
      </c>
      <c r="E688" s="30">
        <f t="shared" si="46"/>
        <v>0</v>
      </c>
      <c r="F688" s="31">
        <f t="shared" si="47"/>
        <v>0</v>
      </c>
      <c r="G688" s="32">
        <f t="shared" si="48"/>
        <v>9.5541401273885329E-2</v>
      </c>
      <c r="H688" s="34">
        <f t="shared" si="50"/>
        <v>9.5541401273885329E-2</v>
      </c>
      <c r="I688" s="42"/>
      <c r="J688" s="38"/>
      <c r="K688" s="38"/>
      <c r="L688" s="1"/>
      <c r="M688" s="1"/>
      <c r="N688" s="1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40"/>
      <c r="AE688" s="40"/>
    </row>
    <row r="689" spans="1:31" x14ac:dyDescent="0.25">
      <c r="A689" s="2"/>
      <c r="B689" s="1"/>
      <c r="C689" s="22">
        <v>629</v>
      </c>
      <c r="D689" s="34">
        <f t="shared" si="49"/>
        <v>6.29</v>
      </c>
      <c r="E689" s="30">
        <f t="shared" si="46"/>
        <v>0</v>
      </c>
      <c r="F689" s="31">
        <f t="shared" si="47"/>
        <v>0</v>
      </c>
      <c r="G689" s="32">
        <f t="shared" si="48"/>
        <v>9.5389507154213016E-2</v>
      </c>
      <c r="H689" s="34">
        <f t="shared" si="50"/>
        <v>9.5389507154213016E-2</v>
      </c>
      <c r="I689" s="42"/>
      <c r="J689" s="38"/>
      <c r="K689" s="38"/>
      <c r="L689" s="1"/>
      <c r="M689" s="1"/>
      <c r="N689" s="1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40"/>
      <c r="AE689" s="40"/>
    </row>
    <row r="690" spans="1:31" x14ac:dyDescent="0.25">
      <c r="A690" s="2"/>
      <c r="B690" s="1"/>
      <c r="C690" s="22">
        <v>630</v>
      </c>
      <c r="D690" s="34">
        <f t="shared" si="49"/>
        <v>6.3</v>
      </c>
      <c r="E690" s="30">
        <f t="shared" si="46"/>
        <v>0</v>
      </c>
      <c r="F690" s="31">
        <f t="shared" si="47"/>
        <v>0</v>
      </c>
      <c r="G690" s="32">
        <f t="shared" si="48"/>
        <v>9.5238095238095219E-2</v>
      </c>
      <c r="H690" s="34">
        <f t="shared" si="50"/>
        <v>9.5238095238095219E-2</v>
      </c>
      <c r="I690" s="42"/>
      <c r="J690" s="38"/>
      <c r="K690" s="38"/>
      <c r="L690" s="1"/>
      <c r="M690" s="1"/>
      <c r="N690" s="1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40"/>
      <c r="AE690" s="40"/>
    </row>
    <row r="691" spans="1:31" x14ac:dyDescent="0.25">
      <c r="A691" s="2"/>
      <c r="B691" s="1"/>
      <c r="C691" s="22">
        <v>631</v>
      </c>
      <c r="D691" s="34">
        <f t="shared" si="49"/>
        <v>6.3100000000000005</v>
      </c>
      <c r="E691" s="30">
        <f t="shared" si="46"/>
        <v>0</v>
      </c>
      <c r="F691" s="31">
        <f t="shared" si="47"/>
        <v>0</v>
      </c>
      <c r="G691" s="32">
        <f t="shared" si="48"/>
        <v>9.5087163232963526E-2</v>
      </c>
      <c r="H691" s="34">
        <f t="shared" si="50"/>
        <v>9.5087163232963526E-2</v>
      </c>
      <c r="I691" s="42"/>
      <c r="J691" s="38"/>
      <c r="K691" s="38"/>
      <c r="L691" s="1"/>
      <c r="M691" s="1"/>
      <c r="N691" s="1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40"/>
      <c r="AE691" s="40"/>
    </row>
    <row r="692" spans="1:31" x14ac:dyDescent="0.25">
      <c r="A692" s="2"/>
      <c r="B692" s="1"/>
      <c r="C692" s="22">
        <v>632</v>
      </c>
      <c r="D692" s="34">
        <f t="shared" si="49"/>
        <v>6.32</v>
      </c>
      <c r="E692" s="30">
        <f t="shared" si="46"/>
        <v>0</v>
      </c>
      <c r="F692" s="31">
        <f t="shared" si="47"/>
        <v>0</v>
      </c>
      <c r="G692" s="32">
        <f t="shared" si="48"/>
        <v>9.4936708860759472E-2</v>
      </c>
      <c r="H692" s="34">
        <f t="shared" si="50"/>
        <v>9.4936708860759472E-2</v>
      </c>
      <c r="I692" s="42"/>
      <c r="J692" s="38"/>
      <c r="K692" s="38"/>
      <c r="L692" s="1"/>
      <c r="M692" s="1"/>
      <c r="N692" s="1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40"/>
      <c r="AE692" s="40"/>
    </row>
    <row r="693" spans="1:31" x14ac:dyDescent="0.25">
      <c r="A693" s="2"/>
      <c r="B693" s="1"/>
      <c r="C693" s="22">
        <v>633</v>
      </c>
      <c r="D693" s="34">
        <f t="shared" si="49"/>
        <v>6.33</v>
      </c>
      <c r="E693" s="30">
        <f t="shared" si="46"/>
        <v>0</v>
      </c>
      <c r="F693" s="31">
        <f t="shared" si="47"/>
        <v>0</v>
      </c>
      <c r="G693" s="32">
        <f t="shared" si="48"/>
        <v>9.4786729857819885E-2</v>
      </c>
      <c r="H693" s="34">
        <f t="shared" si="50"/>
        <v>9.4786729857819885E-2</v>
      </c>
      <c r="I693" s="42"/>
      <c r="J693" s="38"/>
      <c r="K693" s="38"/>
      <c r="L693" s="1"/>
      <c r="M693" s="1"/>
      <c r="N693" s="1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40"/>
      <c r="AE693" s="40"/>
    </row>
    <row r="694" spans="1:31" x14ac:dyDescent="0.25">
      <c r="A694" s="2"/>
      <c r="B694" s="1"/>
      <c r="C694" s="22">
        <v>634</v>
      </c>
      <c r="D694" s="34">
        <f t="shared" si="49"/>
        <v>6.34</v>
      </c>
      <c r="E694" s="30">
        <f t="shared" si="46"/>
        <v>0</v>
      </c>
      <c r="F694" s="31">
        <f t="shared" si="47"/>
        <v>0</v>
      </c>
      <c r="G694" s="32">
        <f t="shared" si="48"/>
        <v>9.4637223974763388E-2</v>
      </c>
      <c r="H694" s="34">
        <f t="shared" si="50"/>
        <v>9.4637223974763388E-2</v>
      </c>
      <c r="I694" s="42"/>
      <c r="J694" s="38"/>
      <c r="K694" s="38"/>
      <c r="L694" s="1"/>
      <c r="M694" s="1"/>
      <c r="N694" s="1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40"/>
      <c r="AE694" s="40"/>
    </row>
    <row r="695" spans="1:31" x14ac:dyDescent="0.25">
      <c r="A695" s="2"/>
      <c r="B695" s="1"/>
      <c r="C695" s="22">
        <v>635</v>
      </c>
      <c r="D695" s="34">
        <f t="shared" si="49"/>
        <v>6.3500000000000005</v>
      </c>
      <c r="E695" s="30">
        <f t="shared" si="46"/>
        <v>0</v>
      </c>
      <c r="F695" s="31">
        <f t="shared" si="47"/>
        <v>0</v>
      </c>
      <c r="G695" s="32">
        <f t="shared" si="48"/>
        <v>9.4488188976377924E-2</v>
      </c>
      <c r="H695" s="34">
        <f t="shared" si="50"/>
        <v>9.4488188976377924E-2</v>
      </c>
      <c r="I695" s="42"/>
      <c r="J695" s="38"/>
      <c r="K695" s="38"/>
      <c r="L695" s="1"/>
      <c r="M695" s="1"/>
      <c r="N695" s="1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40"/>
      <c r="AE695" s="40"/>
    </row>
    <row r="696" spans="1:31" x14ac:dyDescent="0.25">
      <c r="A696" s="2"/>
      <c r="B696" s="1"/>
      <c r="C696" s="22">
        <v>636</v>
      </c>
      <c r="D696" s="34">
        <f t="shared" si="49"/>
        <v>6.36</v>
      </c>
      <c r="E696" s="30">
        <f t="shared" si="46"/>
        <v>0</v>
      </c>
      <c r="F696" s="31">
        <f t="shared" si="47"/>
        <v>0</v>
      </c>
      <c r="G696" s="32">
        <f t="shared" si="48"/>
        <v>9.4339622641509413E-2</v>
      </c>
      <c r="H696" s="34">
        <f t="shared" si="50"/>
        <v>9.4339622641509413E-2</v>
      </c>
      <c r="I696" s="42"/>
      <c r="J696" s="38"/>
      <c r="K696" s="38"/>
      <c r="L696" s="1"/>
      <c r="M696" s="1"/>
      <c r="N696" s="1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40"/>
      <c r="AE696" s="40"/>
    </row>
    <row r="697" spans="1:31" x14ac:dyDescent="0.25">
      <c r="A697" s="2"/>
      <c r="B697" s="1"/>
      <c r="C697" s="22">
        <v>637</v>
      </c>
      <c r="D697" s="34">
        <f t="shared" si="49"/>
        <v>6.37</v>
      </c>
      <c r="E697" s="30">
        <f t="shared" si="46"/>
        <v>0</v>
      </c>
      <c r="F697" s="31">
        <f t="shared" si="47"/>
        <v>0</v>
      </c>
      <c r="G697" s="32">
        <f t="shared" si="48"/>
        <v>9.4191522762951313E-2</v>
      </c>
      <c r="H697" s="34">
        <f t="shared" si="50"/>
        <v>9.4191522762951313E-2</v>
      </c>
      <c r="I697" s="42"/>
      <c r="J697" s="38"/>
      <c r="K697" s="38"/>
      <c r="L697" s="1"/>
      <c r="M697" s="1"/>
      <c r="N697" s="1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40"/>
      <c r="AE697" s="40"/>
    </row>
    <row r="698" spans="1:31" x14ac:dyDescent="0.25">
      <c r="A698" s="2"/>
      <c r="B698" s="1"/>
      <c r="C698" s="22">
        <v>638</v>
      </c>
      <c r="D698" s="34">
        <f t="shared" si="49"/>
        <v>6.38</v>
      </c>
      <c r="E698" s="30">
        <f t="shared" si="46"/>
        <v>0</v>
      </c>
      <c r="F698" s="31">
        <f t="shared" si="47"/>
        <v>0</v>
      </c>
      <c r="G698" s="32">
        <f t="shared" si="48"/>
        <v>9.40438871473354E-2</v>
      </c>
      <c r="H698" s="34">
        <f t="shared" si="50"/>
        <v>9.40438871473354E-2</v>
      </c>
      <c r="I698" s="42"/>
      <c r="J698" s="38"/>
      <c r="K698" s="38"/>
      <c r="L698" s="1"/>
      <c r="M698" s="1"/>
      <c r="N698" s="1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40"/>
      <c r="AE698" s="40"/>
    </row>
    <row r="699" spans="1:31" x14ac:dyDescent="0.25">
      <c r="A699" s="2"/>
      <c r="B699" s="1"/>
      <c r="C699" s="22">
        <v>639</v>
      </c>
      <c r="D699" s="34">
        <f t="shared" si="49"/>
        <v>6.3900000000000006</v>
      </c>
      <c r="E699" s="30">
        <f t="shared" si="46"/>
        <v>0</v>
      </c>
      <c r="F699" s="31">
        <f t="shared" si="47"/>
        <v>0</v>
      </c>
      <c r="G699" s="32">
        <f t="shared" si="48"/>
        <v>9.3896713615023442E-2</v>
      </c>
      <c r="H699" s="34">
        <f t="shared" si="50"/>
        <v>9.3896713615023442E-2</v>
      </c>
      <c r="I699" s="42"/>
      <c r="J699" s="38"/>
      <c r="K699" s="38"/>
      <c r="L699" s="1"/>
      <c r="M699" s="1"/>
      <c r="N699" s="1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40"/>
      <c r="AE699" s="40"/>
    </row>
    <row r="700" spans="1:31" x14ac:dyDescent="0.25">
      <c r="A700" s="2"/>
      <c r="B700" s="1"/>
      <c r="C700" s="22">
        <v>640</v>
      </c>
      <c r="D700" s="34">
        <f t="shared" si="49"/>
        <v>6.4</v>
      </c>
      <c r="E700" s="30">
        <f t="shared" ref="E700:E763" si="51">IF(D700&lt;$C$25,0.4+5*D700,0)</f>
        <v>0</v>
      </c>
      <c r="F700" s="31">
        <f t="shared" ref="F700:F763" si="52">IF(AND(D700&gt;=$C$25,D700&lt;=$C$26),$C$12,0)</f>
        <v>0</v>
      </c>
      <c r="G700" s="32">
        <f t="shared" ref="G700:G763" si="53">IF(D700&gt;$C$26,$C$13/D700,0)</f>
        <v>9.3749999999999972E-2</v>
      </c>
      <c r="H700" s="34">
        <f t="shared" si="50"/>
        <v>9.3749999999999972E-2</v>
      </c>
      <c r="I700" s="42"/>
      <c r="J700" s="38"/>
      <c r="K700" s="38"/>
      <c r="L700" s="1"/>
      <c r="M700" s="1"/>
      <c r="N700" s="1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40"/>
      <c r="AE700" s="40"/>
    </row>
    <row r="701" spans="1:31" x14ac:dyDescent="0.25">
      <c r="A701" s="2"/>
      <c r="B701" s="1"/>
      <c r="C701" s="22">
        <v>641</v>
      </c>
      <c r="D701" s="34">
        <f t="shared" ref="D701:D764" si="54">$D$55*C701</f>
        <v>6.41</v>
      </c>
      <c r="E701" s="30">
        <f t="shared" si="51"/>
        <v>0</v>
      </c>
      <c r="F701" s="31">
        <f t="shared" si="52"/>
        <v>0</v>
      </c>
      <c r="G701" s="32">
        <f t="shared" si="53"/>
        <v>9.3603744149765966E-2</v>
      </c>
      <c r="H701" s="34">
        <f t="shared" si="50"/>
        <v>9.3603744149765966E-2</v>
      </c>
      <c r="I701" s="42"/>
      <c r="J701" s="38"/>
      <c r="K701" s="38"/>
      <c r="L701" s="1"/>
      <c r="M701" s="1"/>
      <c r="N701" s="1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40"/>
      <c r="AE701" s="40"/>
    </row>
    <row r="702" spans="1:31" x14ac:dyDescent="0.25">
      <c r="A702" s="2"/>
      <c r="B702" s="1"/>
      <c r="C702" s="22">
        <v>642</v>
      </c>
      <c r="D702" s="34">
        <f t="shared" si="54"/>
        <v>6.42</v>
      </c>
      <c r="E702" s="30">
        <f t="shared" si="51"/>
        <v>0</v>
      </c>
      <c r="F702" s="31">
        <f t="shared" si="52"/>
        <v>0</v>
      </c>
      <c r="G702" s="32">
        <f t="shared" si="53"/>
        <v>9.3457943925233627E-2</v>
      </c>
      <c r="H702" s="34">
        <f t="shared" si="50"/>
        <v>9.3457943925233627E-2</v>
      </c>
      <c r="I702" s="42"/>
      <c r="J702" s="38"/>
      <c r="K702" s="38"/>
      <c r="L702" s="1"/>
      <c r="M702" s="1"/>
      <c r="N702" s="1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40"/>
      <c r="AE702" s="40"/>
    </row>
    <row r="703" spans="1:31" x14ac:dyDescent="0.25">
      <c r="A703" s="2"/>
      <c r="B703" s="1"/>
      <c r="C703" s="22">
        <v>643</v>
      </c>
      <c r="D703" s="34">
        <f t="shared" si="54"/>
        <v>6.43</v>
      </c>
      <c r="E703" s="30">
        <f t="shared" si="51"/>
        <v>0</v>
      </c>
      <c r="F703" s="31">
        <f t="shared" si="52"/>
        <v>0</v>
      </c>
      <c r="G703" s="32">
        <f t="shared" si="53"/>
        <v>9.3312597200622072E-2</v>
      </c>
      <c r="H703" s="34">
        <f t="shared" si="50"/>
        <v>9.3312597200622072E-2</v>
      </c>
      <c r="I703" s="42"/>
      <c r="J703" s="38"/>
      <c r="K703" s="38"/>
      <c r="L703" s="1"/>
      <c r="M703" s="1"/>
      <c r="N703" s="1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40"/>
      <c r="AE703" s="40"/>
    </row>
    <row r="704" spans="1:31" x14ac:dyDescent="0.25">
      <c r="A704" s="2"/>
      <c r="B704" s="1"/>
      <c r="C704" s="22">
        <v>644</v>
      </c>
      <c r="D704" s="34">
        <f t="shared" si="54"/>
        <v>6.44</v>
      </c>
      <c r="E704" s="30">
        <f t="shared" si="51"/>
        <v>0</v>
      </c>
      <c r="F704" s="31">
        <f t="shared" si="52"/>
        <v>0</v>
      </c>
      <c r="G704" s="32">
        <f t="shared" si="53"/>
        <v>9.3167701863354005E-2</v>
      </c>
      <c r="H704" s="34">
        <f t="shared" si="50"/>
        <v>9.3167701863354005E-2</v>
      </c>
      <c r="I704" s="42"/>
      <c r="J704" s="38"/>
      <c r="K704" s="38"/>
      <c r="L704" s="1"/>
      <c r="M704" s="1"/>
      <c r="N704" s="1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40"/>
      <c r="AE704" s="40"/>
    </row>
    <row r="705" spans="1:31" x14ac:dyDescent="0.25">
      <c r="A705" s="2"/>
      <c r="B705" s="1"/>
      <c r="C705" s="22">
        <v>645</v>
      </c>
      <c r="D705" s="34">
        <f t="shared" si="54"/>
        <v>6.45</v>
      </c>
      <c r="E705" s="30">
        <f t="shared" si="51"/>
        <v>0</v>
      </c>
      <c r="F705" s="31">
        <f t="shared" si="52"/>
        <v>0</v>
      </c>
      <c r="G705" s="32">
        <f t="shared" si="53"/>
        <v>9.3023255813953459E-2</v>
      </c>
      <c r="H705" s="34">
        <f t="shared" si="50"/>
        <v>9.3023255813953459E-2</v>
      </c>
      <c r="I705" s="42"/>
      <c r="J705" s="38"/>
      <c r="K705" s="38"/>
      <c r="L705" s="1"/>
      <c r="M705" s="1"/>
      <c r="N705" s="1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40"/>
      <c r="AE705" s="40"/>
    </row>
    <row r="706" spans="1:31" x14ac:dyDescent="0.25">
      <c r="A706" s="2"/>
      <c r="B706" s="1"/>
      <c r="C706" s="22">
        <v>646</v>
      </c>
      <c r="D706" s="34">
        <f t="shared" si="54"/>
        <v>6.46</v>
      </c>
      <c r="E706" s="30">
        <f t="shared" si="51"/>
        <v>0</v>
      </c>
      <c r="F706" s="31">
        <f t="shared" si="52"/>
        <v>0</v>
      </c>
      <c r="G706" s="32">
        <f t="shared" si="53"/>
        <v>9.2879256965944249E-2</v>
      </c>
      <c r="H706" s="34">
        <f t="shared" si="50"/>
        <v>9.2879256965944249E-2</v>
      </c>
      <c r="I706" s="42"/>
      <c r="J706" s="38"/>
      <c r="K706" s="38"/>
      <c r="L706" s="1"/>
      <c r="M706" s="1"/>
      <c r="N706" s="1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40"/>
      <c r="AE706" s="40"/>
    </row>
    <row r="707" spans="1:31" x14ac:dyDescent="0.25">
      <c r="A707" s="2"/>
      <c r="B707" s="1"/>
      <c r="C707" s="22">
        <v>647</v>
      </c>
      <c r="D707" s="34">
        <f t="shared" si="54"/>
        <v>6.47</v>
      </c>
      <c r="E707" s="30">
        <f t="shared" si="51"/>
        <v>0</v>
      </c>
      <c r="F707" s="31">
        <f t="shared" si="52"/>
        <v>0</v>
      </c>
      <c r="G707" s="32">
        <f t="shared" si="53"/>
        <v>9.273570324574959E-2</v>
      </c>
      <c r="H707" s="34">
        <f t="shared" si="50"/>
        <v>9.273570324574959E-2</v>
      </c>
      <c r="I707" s="42"/>
      <c r="J707" s="38"/>
      <c r="K707" s="38"/>
      <c r="L707" s="1"/>
      <c r="M707" s="1"/>
      <c r="N707" s="1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40"/>
      <c r="AE707" s="40"/>
    </row>
    <row r="708" spans="1:31" x14ac:dyDescent="0.25">
      <c r="A708" s="2"/>
      <c r="B708" s="1"/>
      <c r="C708" s="22">
        <v>648</v>
      </c>
      <c r="D708" s="34">
        <f t="shared" si="54"/>
        <v>6.48</v>
      </c>
      <c r="E708" s="30">
        <f t="shared" si="51"/>
        <v>0</v>
      </c>
      <c r="F708" s="31">
        <f t="shared" si="52"/>
        <v>0</v>
      </c>
      <c r="G708" s="32">
        <f t="shared" si="53"/>
        <v>9.259259259259256E-2</v>
      </c>
      <c r="H708" s="34">
        <f t="shared" si="50"/>
        <v>9.259259259259256E-2</v>
      </c>
      <c r="I708" s="42"/>
      <c r="J708" s="38"/>
      <c r="K708" s="38"/>
      <c r="L708" s="1"/>
      <c r="M708" s="1"/>
      <c r="N708" s="1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40"/>
      <c r="AE708" s="40"/>
    </row>
    <row r="709" spans="1:31" x14ac:dyDescent="0.25">
      <c r="A709" s="2"/>
      <c r="B709" s="1"/>
      <c r="C709" s="22">
        <v>649</v>
      </c>
      <c r="D709" s="34">
        <f t="shared" si="54"/>
        <v>6.49</v>
      </c>
      <c r="E709" s="30">
        <f t="shared" si="51"/>
        <v>0</v>
      </c>
      <c r="F709" s="31">
        <f t="shared" si="52"/>
        <v>0</v>
      </c>
      <c r="G709" s="32">
        <f t="shared" si="53"/>
        <v>9.2449922958397518E-2</v>
      </c>
      <c r="H709" s="34">
        <f t="shared" si="50"/>
        <v>9.2449922958397518E-2</v>
      </c>
      <c r="I709" s="42"/>
      <c r="J709" s="38"/>
      <c r="K709" s="38"/>
      <c r="L709" s="1"/>
      <c r="M709" s="1"/>
      <c r="N709" s="1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40"/>
      <c r="AE709" s="40"/>
    </row>
    <row r="710" spans="1:31" x14ac:dyDescent="0.25">
      <c r="A710" s="2"/>
      <c r="B710" s="1"/>
      <c r="C710" s="22">
        <v>650</v>
      </c>
      <c r="D710" s="34">
        <f t="shared" si="54"/>
        <v>6.5</v>
      </c>
      <c r="E710" s="30">
        <f t="shared" si="51"/>
        <v>0</v>
      </c>
      <c r="F710" s="31">
        <f t="shared" si="52"/>
        <v>0</v>
      </c>
      <c r="G710" s="32">
        <f t="shared" si="53"/>
        <v>9.2307692307692285E-2</v>
      </c>
      <c r="H710" s="34">
        <f t="shared" si="50"/>
        <v>9.2307692307692285E-2</v>
      </c>
      <c r="I710" s="42"/>
      <c r="J710" s="38"/>
      <c r="K710" s="38"/>
      <c r="L710" s="1"/>
      <c r="M710" s="1"/>
      <c r="N710" s="1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40"/>
      <c r="AE710" s="40"/>
    </row>
    <row r="711" spans="1:31" x14ac:dyDescent="0.25">
      <c r="A711" s="2"/>
      <c r="B711" s="1"/>
      <c r="C711" s="22">
        <v>651</v>
      </c>
      <c r="D711" s="34">
        <f t="shared" si="54"/>
        <v>6.51</v>
      </c>
      <c r="E711" s="30">
        <f t="shared" si="51"/>
        <v>0</v>
      </c>
      <c r="F711" s="31">
        <f t="shared" si="52"/>
        <v>0</v>
      </c>
      <c r="G711" s="32">
        <f t="shared" si="53"/>
        <v>9.2165898617511496E-2</v>
      </c>
      <c r="H711" s="34">
        <f t="shared" si="50"/>
        <v>9.2165898617511496E-2</v>
      </c>
      <c r="I711" s="42"/>
      <c r="J711" s="38"/>
      <c r="K711" s="38"/>
      <c r="L711" s="1"/>
      <c r="M711" s="1"/>
      <c r="N711" s="1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40"/>
      <c r="AE711" s="40"/>
    </row>
    <row r="712" spans="1:31" x14ac:dyDescent="0.25">
      <c r="A712" s="2"/>
      <c r="B712" s="1"/>
      <c r="C712" s="22">
        <v>652</v>
      </c>
      <c r="D712" s="34">
        <f t="shared" si="54"/>
        <v>6.5200000000000005</v>
      </c>
      <c r="E712" s="30">
        <f t="shared" si="51"/>
        <v>0</v>
      </c>
      <c r="F712" s="31">
        <f t="shared" si="52"/>
        <v>0</v>
      </c>
      <c r="G712" s="32">
        <f t="shared" si="53"/>
        <v>9.2024539877300582E-2</v>
      </c>
      <c r="H712" s="34">
        <f t="shared" si="50"/>
        <v>9.2024539877300582E-2</v>
      </c>
      <c r="I712" s="42"/>
      <c r="J712" s="38"/>
      <c r="K712" s="38"/>
      <c r="L712" s="1"/>
      <c r="M712" s="1"/>
      <c r="N712" s="1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40"/>
      <c r="AE712" s="40"/>
    </row>
    <row r="713" spans="1:31" x14ac:dyDescent="0.25">
      <c r="A713" s="2"/>
      <c r="B713" s="1"/>
      <c r="C713" s="22">
        <v>653</v>
      </c>
      <c r="D713" s="34">
        <f t="shared" si="54"/>
        <v>6.53</v>
      </c>
      <c r="E713" s="30">
        <f t="shared" si="51"/>
        <v>0</v>
      </c>
      <c r="F713" s="31">
        <f t="shared" si="52"/>
        <v>0</v>
      </c>
      <c r="G713" s="32">
        <f t="shared" si="53"/>
        <v>9.18836140888208E-2</v>
      </c>
      <c r="H713" s="34">
        <f t="shared" si="50"/>
        <v>9.18836140888208E-2</v>
      </c>
      <c r="I713" s="42"/>
      <c r="J713" s="38"/>
      <c r="K713" s="38"/>
      <c r="L713" s="1"/>
      <c r="M713" s="1"/>
      <c r="N713" s="1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40"/>
      <c r="AE713" s="40"/>
    </row>
    <row r="714" spans="1:31" x14ac:dyDescent="0.25">
      <c r="A714" s="2"/>
      <c r="B714" s="1"/>
      <c r="C714" s="22">
        <v>654</v>
      </c>
      <c r="D714" s="34">
        <f t="shared" si="54"/>
        <v>6.54</v>
      </c>
      <c r="E714" s="30">
        <f t="shared" si="51"/>
        <v>0</v>
      </c>
      <c r="F714" s="31">
        <f t="shared" si="52"/>
        <v>0</v>
      </c>
      <c r="G714" s="32">
        <f t="shared" si="53"/>
        <v>9.1743119266055023E-2</v>
      </c>
      <c r="H714" s="34">
        <f t="shared" si="50"/>
        <v>9.1743119266055023E-2</v>
      </c>
      <c r="I714" s="42"/>
      <c r="J714" s="38"/>
      <c r="K714" s="38"/>
      <c r="L714" s="1"/>
      <c r="M714" s="1"/>
      <c r="N714" s="1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40"/>
      <c r="AE714" s="40"/>
    </row>
    <row r="715" spans="1:31" x14ac:dyDescent="0.25">
      <c r="A715" s="2"/>
      <c r="B715" s="1"/>
      <c r="C715" s="22">
        <v>655</v>
      </c>
      <c r="D715" s="34">
        <f t="shared" si="54"/>
        <v>6.55</v>
      </c>
      <c r="E715" s="30">
        <f t="shared" si="51"/>
        <v>0</v>
      </c>
      <c r="F715" s="31">
        <f t="shared" si="52"/>
        <v>0</v>
      </c>
      <c r="G715" s="32">
        <f t="shared" si="53"/>
        <v>9.160305343511449E-2</v>
      </c>
      <c r="H715" s="34">
        <f t="shared" si="50"/>
        <v>9.160305343511449E-2</v>
      </c>
      <c r="I715" s="42"/>
      <c r="J715" s="38"/>
      <c r="K715" s="38"/>
      <c r="L715" s="1"/>
      <c r="M715" s="1"/>
      <c r="N715" s="1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40"/>
      <c r="AE715" s="40"/>
    </row>
    <row r="716" spans="1:31" x14ac:dyDescent="0.25">
      <c r="A716" s="2"/>
      <c r="B716" s="1"/>
      <c r="C716" s="22">
        <v>656</v>
      </c>
      <c r="D716" s="34">
        <f t="shared" si="54"/>
        <v>6.5600000000000005</v>
      </c>
      <c r="E716" s="30">
        <f t="shared" si="51"/>
        <v>0</v>
      </c>
      <c r="F716" s="31">
        <f t="shared" si="52"/>
        <v>0</v>
      </c>
      <c r="G716" s="32">
        <f t="shared" si="53"/>
        <v>9.1463414634146312E-2</v>
      </c>
      <c r="H716" s="34">
        <f t="shared" si="50"/>
        <v>9.1463414634146312E-2</v>
      </c>
      <c r="I716" s="42"/>
      <c r="J716" s="38"/>
      <c r="K716" s="38"/>
      <c r="L716" s="1"/>
      <c r="M716" s="1"/>
      <c r="N716" s="1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40"/>
      <c r="AE716" s="40"/>
    </row>
    <row r="717" spans="1:31" x14ac:dyDescent="0.25">
      <c r="A717" s="2"/>
      <c r="B717" s="1"/>
      <c r="C717" s="22">
        <v>657</v>
      </c>
      <c r="D717" s="34">
        <f t="shared" si="54"/>
        <v>6.57</v>
      </c>
      <c r="E717" s="30">
        <f t="shared" si="51"/>
        <v>0</v>
      </c>
      <c r="F717" s="31">
        <f t="shared" si="52"/>
        <v>0</v>
      </c>
      <c r="G717" s="32">
        <f t="shared" si="53"/>
        <v>9.132420091324199E-2</v>
      </c>
      <c r="H717" s="34">
        <f t="shared" si="50"/>
        <v>9.132420091324199E-2</v>
      </c>
      <c r="I717" s="42"/>
      <c r="J717" s="38"/>
      <c r="K717" s="38"/>
      <c r="L717" s="1"/>
      <c r="M717" s="1"/>
      <c r="N717" s="1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40"/>
      <c r="AE717" s="40"/>
    </row>
    <row r="718" spans="1:31" x14ac:dyDescent="0.25">
      <c r="A718" s="2"/>
      <c r="B718" s="1"/>
      <c r="C718" s="22">
        <v>658</v>
      </c>
      <c r="D718" s="34">
        <f t="shared" si="54"/>
        <v>6.58</v>
      </c>
      <c r="E718" s="30">
        <f t="shared" si="51"/>
        <v>0</v>
      </c>
      <c r="F718" s="31">
        <f t="shared" si="52"/>
        <v>0</v>
      </c>
      <c r="G718" s="32">
        <f t="shared" si="53"/>
        <v>9.1185410334346489E-2</v>
      </c>
      <c r="H718" s="34">
        <f t="shared" si="50"/>
        <v>9.1185410334346489E-2</v>
      </c>
      <c r="I718" s="42"/>
      <c r="J718" s="38"/>
      <c r="K718" s="38"/>
      <c r="L718" s="1"/>
      <c r="M718" s="1"/>
      <c r="N718" s="1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40"/>
      <c r="AE718" s="40"/>
    </row>
    <row r="719" spans="1:31" x14ac:dyDescent="0.25">
      <c r="A719" s="2"/>
      <c r="B719" s="1"/>
      <c r="C719" s="22">
        <v>659</v>
      </c>
      <c r="D719" s="34">
        <f t="shared" si="54"/>
        <v>6.59</v>
      </c>
      <c r="E719" s="30">
        <f t="shared" si="51"/>
        <v>0</v>
      </c>
      <c r="F719" s="31">
        <f t="shared" si="52"/>
        <v>0</v>
      </c>
      <c r="G719" s="32">
        <f t="shared" si="53"/>
        <v>9.1047040971168419E-2</v>
      </c>
      <c r="H719" s="34">
        <f t="shared" si="50"/>
        <v>9.1047040971168419E-2</v>
      </c>
      <c r="I719" s="42"/>
      <c r="J719" s="38"/>
      <c r="K719" s="38"/>
      <c r="L719" s="1"/>
      <c r="M719" s="1"/>
      <c r="N719" s="1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40"/>
      <c r="AE719" s="40"/>
    </row>
    <row r="720" spans="1:31" x14ac:dyDescent="0.25">
      <c r="A720" s="2"/>
      <c r="B720" s="1"/>
      <c r="C720" s="22">
        <v>660</v>
      </c>
      <c r="D720" s="34">
        <f t="shared" si="54"/>
        <v>6.6000000000000005</v>
      </c>
      <c r="E720" s="30">
        <f t="shared" si="51"/>
        <v>0</v>
      </c>
      <c r="F720" s="31">
        <f t="shared" si="52"/>
        <v>0</v>
      </c>
      <c r="G720" s="32">
        <f t="shared" si="53"/>
        <v>9.0909090909090884E-2</v>
      </c>
      <c r="H720" s="34">
        <f t="shared" si="50"/>
        <v>9.0909090909090884E-2</v>
      </c>
      <c r="I720" s="42"/>
      <c r="J720" s="38"/>
      <c r="K720" s="38"/>
      <c r="L720" s="1"/>
      <c r="M720" s="1"/>
      <c r="N720" s="1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40"/>
      <c r="AE720" s="40"/>
    </row>
    <row r="721" spans="1:31" x14ac:dyDescent="0.25">
      <c r="A721" s="2"/>
      <c r="B721" s="1"/>
      <c r="C721" s="22">
        <v>661</v>
      </c>
      <c r="D721" s="34">
        <f t="shared" si="54"/>
        <v>6.61</v>
      </c>
      <c r="E721" s="30">
        <f t="shared" si="51"/>
        <v>0</v>
      </c>
      <c r="F721" s="31">
        <f t="shared" si="52"/>
        <v>0</v>
      </c>
      <c r="G721" s="32">
        <f t="shared" si="53"/>
        <v>9.0771558245083178E-2</v>
      </c>
      <c r="H721" s="34">
        <f t="shared" si="50"/>
        <v>9.0771558245083178E-2</v>
      </c>
      <c r="I721" s="42"/>
      <c r="J721" s="38"/>
      <c r="K721" s="38"/>
      <c r="L721" s="1"/>
      <c r="M721" s="1"/>
      <c r="N721" s="1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40"/>
      <c r="AE721" s="40"/>
    </row>
    <row r="722" spans="1:31" x14ac:dyDescent="0.25">
      <c r="A722" s="2"/>
      <c r="B722" s="1"/>
      <c r="C722" s="22">
        <v>662</v>
      </c>
      <c r="D722" s="34">
        <f t="shared" si="54"/>
        <v>6.62</v>
      </c>
      <c r="E722" s="30">
        <f t="shared" si="51"/>
        <v>0</v>
      </c>
      <c r="F722" s="31">
        <f t="shared" si="52"/>
        <v>0</v>
      </c>
      <c r="G722" s="32">
        <f t="shared" si="53"/>
        <v>9.0634441087613274E-2</v>
      </c>
      <c r="H722" s="34">
        <f t="shared" si="50"/>
        <v>9.0634441087613274E-2</v>
      </c>
      <c r="I722" s="42"/>
      <c r="J722" s="38"/>
      <c r="K722" s="38"/>
      <c r="L722" s="1"/>
      <c r="M722" s="1"/>
      <c r="N722" s="1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40"/>
      <c r="AE722" s="40"/>
    </row>
    <row r="723" spans="1:31" x14ac:dyDescent="0.25">
      <c r="A723" s="2"/>
      <c r="B723" s="1"/>
      <c r="C723" s="22">
        <v>663</v>
      </c>
      <c r="D723" s="34">
        <f t="shared" si="54"/>
        <v>6.63</v>
      </c>
      <c r="E723" s="30">
        <f t="shared" si="51"/>
        <v>0</v>
      </c>
      <c r="F723" s="31">
        <f t="shared" si="52"/>
        <v>0</v>
      </c>
      <c r="G723" s="32">
        <f t="shared" si="53"/>
        <v>9.049773755656107E-2</v>
      </c>
      <c r="H723" s="34">
        <f t="shared" si="50"/>
        <v>9.049773755656107E-2</v>
      </c>
      <c r="I723" s="42"/>
      <c r="J723" s="38"/>
      <c r="K723" s="38"/>
      <c r="L723" s="1"/>
      <c r="M723" s="1"/>
      <c r="N723" s="1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40"/>
      <c r="AE723" s="40"/>
    </row>
    <row r="724" spans="1:31" x14ac:dyDescent="0.25">
      <c r="A724" s="2"/>
      <c r="B724" s="1"/>
      <c r="C724" s="22">
        <v>664</v>
      </c>
      <c r="D724" s="34">
        <f t="shared" si="54"/>
        <v>6.6400000000000006</v>
      </c>
      <c r="E724" s="30">
        <f t="shared" si="51"/>
        <v>0</v>
      </c>
      <c r="F724" s="31">
        <f t="shared" si="52"/>
        <v>0</v>
      </c>
      <c r="G724" s="32">
        <f t="shared" si="53"/>
        <v>9.0361445783132502E-2</v>
      </c>
      <c r="H724" s="34">
        <f t="shared" si="50"/>
        <v>9.0361445783132502E-2</v>
      </c>
      <c r="I724" s="42"/>
      <c r="J724" s="38"/>
      <c r="K724" s="38"/>
      <c r="L724" s="1"/>
      <c r="M724" s="1"/>
      <c r="N724" s="1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40"/>
      <c r="AE724" s="40"/>
    </row>
    <row r="725" spans="1:31" x14ac:dyDescent="0.25">
      <c r="A725" s="2"/>
      <c r="B725" s="1"/>
      <c r="C725" s="22">
        <v>665</v>
      </c>
      <c r="D725" s="34">
        <f t="shared" si="54"/>
        <v>6.65</v>
      </c>
      <c r="E725" s="30">
        <f t="shared" si="51"/>
        <v>0</v>
      </c>
      <c r="F725" s="31">
        <f t="shared" si="52"/>
        <v>0</v>
      </c>
      <c r="G725" s="32">
        <f t="shared" si="53"/>
        <v>9.0225563909774417E-2</v>
      </c>
      <c r="H725" s="34">
        <f t="shared" si="50"/>
        <v>9.0225563909774417E-2</v>
      </c>
      <c r="I725" s="42"/>
      <c r="J725" s="38"/>
      <c r="K725" s="38"/>
      <c r="L725" s="1"/>
      <c r="M725" s="1"/>
      <c r="N725" s="1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40"/>
      <c r="AE725" s="40"/>
    </row>
    <row r="726" spans="1:31" x14ac:dyDescent="0.25">
      <c r="A726" s="2"/>
      <c r="B726" s="1"/>
      <c r="C726" s="22">
        <v>666</v>
      </c>
      <c r="D726" s="34">
        <f t="shared" si="54"/>
        <v>6.66</v>
      </c>
      <c r="E726" s="30">
        <f t="shared" si="51"/>
        <v>0</v>
      </c>
      <c r="F726" s="31">
        <f t="shared" si="52"/>
        <v>0</v>
      </c>
      <c r="G726" s="32">
        <f t="shared" si="53"/>
        <v>9.0090090090090072E-2</v>
      </c>
      <c r="H726" s="34">
        <f t="shared" si="50"/>
        <v>9.0090090090090072E-2</v>
      </c>
      <c r="I726" s="42"/>
      <c r="J726" s="38"/>
      <c r="K726" s="38"/>
      <c r="L726" s="1"/>
      <c r="M726" s="1"/>
      <c r="N726" s="1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40"/>
      <c r="AE726" s="40"/>
    </row>
    <row r="727" spans="1:31" x14ac:dyDescent="0.25">
      <c r="A727" s="2"/>
      <c r="B727" s="1"/>
      <c r="C727" s="22">
        <v>667</v>
      </c>
      <c r="D727" s="34">
        <f t="shared" si="54"/>
        <v>6.67</v>
      </c>
      <c r="E727" s="30">
        <f t="shared" si="51"/>
        <v>0</v>
      </c>
      <c r="F727" s="31">
        <f t="shared" si="52"/>
        <v>0</v>
      </c>
      <c r="G727" s="32">
        <f t="shared" si="53"/>
        <v>8.9955022488755601E-2</v>
      </c>
      <c r="H727" s="34">
        <f t="shared" si="50"/>
        <v>8.9955022488755601E-2</v>
      </c>
      <c r="I727" s="42"/>
      <c r="J727" s="38"/>
      <c r="K727" s="38"/>
      <c r="L727" s="1"/>
      <c r="M727" s="1"/>
      <c r="N727" s="1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40"/>
      <c r="AE727" s="40"/>
    </row>
    <row r="728" spans="1:31" x14ac:dyDescent="0.25">
      <c r="A728" s="2"/>
      <c r="B728" s="1"/>
      <c r="C728" s="22">
        <v>668</v>
      </c>
      <c r="D728" s="34">
        <f t="shared" si="54"/>
        <v>6.68</v>
      </c>
      <c r="E728" s="30">
        <f t="shared" si="51"/>
        <v>0</v>
      </c>
      <c r="F728" s="31">
        <f t="shared" si="52"/>
        <v>0</v>
      </c>
      <c r="G728" s="32">
        <f t="shared" si="53"/>
        <v>8.9820359281437112E-2</v>
      </c>
      <c r="H728" s="34">
        <f t="shared" si="50"/>
        <v>8.9820359281437112E-2</v>
      </c>
      <c r="I728" s="42"/>
      <c r="J728" s="38"/>
      <c r="K728" s="38"/>
      <c r="L728" s="1"/>
      <c r="M728" s="1"/>
      <c r="N728" s="1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40"/>
      <c r="AE728" s="40"/>
    </row>
    <row r="729" spans="1:31" x14ac:dyDescent="0.25">
      <c r="A729" s="2"/>
      <c r="B729" s="1"/>
      <c r="C729" s="22">
        <v>669</v>
      </c>
      <c r="D729" s="34">
        <f t="shared" si="54"/>
        <v>6.69</v>
      </c>
      <c r="E729" s="30">
        <f t="shared" si="51"/>
        <v>0</v>
      </c>
      <c r="F729" s="31">
        <f t="shared" si="52"/>
        <v>0</v>
      </c>
      <c r="G729" s="32">
        <f t="shared" si="53"/>
        <v>8.9686098654708502E-2</v>
      </c>
      <c r="H729" s="34">
        <f t="shared" si="50"/>
        <v>8.9686098654708502E-2</v>
      </c>
      <c r="I729" s="42"/>
      <c r="J729" s="38"/>
      <c r="K729" s="38"/>
      <c r="L729" s="1"/>
      <c r="M729" s="1"/>
      <c r="N729" s="1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40"/>
      <c r="AE729" s="40"/>
    </row>
    <row r="730" spans="1:31" x14ac:dyDescent="0.25">
      <c r="A730" s="2"/>
      <c r="B730" s="1"/>
      <c r="C730" s="22">
        <v>670</v>
      </c>
      <c r="D730" s="34">
        <f t="shared" si="54"/>
        <v>6.7</v>
      </c>
      <c r="E730" s="30">
        <f t="shared" si="51"/>
        <v>0</v>
      </c>
      <c r="F730" s="31">
        <f t="shared" si="52"/>
        <v>0</v>
      </c>
      <c r="G730" s="32">
        <f t="shared" si="53"/>
        <v>8.955223880597013E-2</v>
      </c>
      <c r="H730" s="34">
        <f t="shared" si="50"/>
        <v>8.955223880597013E-2</v>
      </c>
      <c r="I730" s="42"/>
      <c r="J730" s="38"/>
      <c r="K730" s="38"/>
      <c r="L730" s="1"/>
      <c r="M730" s="1"/>
      <c r="N730" s="1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40"/>
      <c r="AE730" s="40"/>
    </row>
    <row r="731" spans="1:31" x14ac:dyDescent="0.25">
      <c r="A731" s="2"/>
      <c r="B731" s="1"/>
      <c r="C731" s="22">
        <v>671</v>
      </c>
      <c r="D731" s="34">
        <f t="shared" si="54"/>
        <v>6.71</v>
      </c>
      <c r="E731" s="30">
        <f t="shared" si="51"/>
        <v>0</v>
      </c>
      <c r="F731" s="31">
        <f t="shared" si="52"/>
        <v>0</v>
      </c>
      <c r="G731" s="32">
        <f t="shared" si="53"/>
        <v>8.9418777943368083E-2</v>
      </c>
      <c r="H731" s="34">
        <f t="shared" si="50"/>
        <v>8.9418777943368083E-2</v>
      </c>
      <c r="I731" s="42"/>
      <c r="J731" s="38"/>
      <c r="K731" s="38"/>
      <c r="L731" s="1"/>
      <c r="M731" s="1"/>
      <c r="N731" s="1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40"/>
      <c r="AE731" s="40"/>
    </row>
    <row r="732" spans="1:31" x14ac:dyDescent="0.25">
      <c r="A732" s="2"/>
      <c r="B732" s="1"/>
      <c r="C732" s="22">
        <v>672</v>
      </c>
      <c r="D732" s="34">
        <f t="shared" si="54"/>
        <v>6.72</v>
      </c>
      <c r="E732" s="30">
        <f t="shared" si="51"/>
        <v>0</v>
      </c>
      <c r="F732" s="31">
        <f t="shared" si="52"/>
        <v>0</v>
      </c>
      <c r="G732" s="32">
        <f t="shared" si="53"/>
        <v>8.9285714285714274E-2</v>
      </c>
      <c r="H732" s="34">
        <f t="shared" si="50"/>
        <v>8.9285714285714274E-2</v>
      </c>
      <c r="I732" s="42"/>
      <c r="J732" s="38"/>
      <c r="K732" s="38"/>
      <c r="L732" s="1"/>
      <c r="M732" s="1"/>
      <c r="N732" s="1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40"/>
      <c r="AE732" s="40"/>
    </row>
    <row r="733" spans="1:31" x14ac:dyDescent="0.25">
      <c r="A733" s="2"/>
      <c r="B733" s="1"/>
      <c r="C733" s="22">
        <v>673</v>
      </c>
      <c r="D733" s="34">
        <f t="shared" si="54"/>
        <v>6.73</v>
      </c>
      <c r="E733" s="30">
        <f t="shared" si="51"/>
        <v>0</v>
      </c>
      <c r="F733" s="31">
        <f t="shared" si="52"/>
        <v>0</v>
      </c>
      <c r="G733" s="32">
        <f t="shared" si="53"/>
        <v>8.9153046062407107E-2</v>
      </c>
      <c r="H733" s="34">
        <f t="shared" si="50"/>
        <v>8.9153046062407107E-2</v>
      </c>
      <c r="I733" s="42"/>
      <c r="J733" s="38"/>
      <c r="K733" s="38"/>
      <c r="L733" s="1"/>
      <c r="M733" s="1"/>
      <c r="N733" s="1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40"/>
      <c r="AE733" s="40"/>
    </row>
    <row r="734" spans="1:31" x14ac:dyDescent="0.25">
      <c r="A734" s="2"/>
      <c r="B734" s="1"/>
      <c r="C734" s="22">
        <v>674</v>
      </c>
      <c r="D734" s="34">
        <f t="shared" si="54"/>
        <v>6.74</v>
      </c>
      <c r="E734" s="30">
        <f t="shared" si="51"/>
        <v>0</v>
      </c>
      <c r="F734" s="31">
        <f t="shared" si="52"/>
        <v>0</v>
      </c>
      <c r="G734" s="32">
        <f t="shared" si="53"/>
        <v>8.9020771513353095E-2</v>
      </c>
      <c r="H734" s="34">
        <f t="shared" si="50"/>
        <v>8.9020771513353095E-2</v>
      </c>
      <c r="I734" s="42"/>
      <c r="J734" s="38"/>
      <c r="K734" s="38"/>
      <c r="L734" s="1"/>
      <c r="M734" s="1"/>
      <c r="N734" s="1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40"/>
      <c r="AE734" s="40"/>
    </row>
    <row r="735" spans="1:31" x14ac:dyDescent="0.25">
      <c r="A735" s="2"/>
      <c r="B735" s="1"/>
      <c r="C735" s="22">
        <v>675</v>
      </c>
      <c r="D735" s="34">
        <f t="shared" si="54"/>
        <v>6.75</v>
      </c>
      <c r="E735" s="30">
        <f t="shared" si="51"/>
        <v>0</v>
      </c>
      <c r="F735" s="31">
        <f t="shared" si="52"/>
        <v>0</v>
      </c>
      <c r="G735" s="32">
        <f t="shared" si="53"/>
        <v>8.8888888888888865E-2</v>
      </c>
      <c r="H735" s="34">
        <f t="shared" si="50"/>
        <v>8.8888888888888865E-2</v>
      </c>
      <c r="I735" s="42"/>
      <c r="J735" s="38"/>
      <c r="K735" s="38"/>
      <c r="L735" s="1"/>
      <c r="M735" s="1"/>
      <c r="N735" s="1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40"/>
      <c r="AE735" s="40"/>
    </row>
    <row r="736" spans="1:31" x14ac:dyDescent="0.25">
      <c r="A736" s="2"/>
      <c r="B736" s="1"/>
      <c r="C736" s="22">
        <v>676</v>
      </c>
      <c r="D736" s="34">
        <f t="shared" si="54"/>
        <v>6.76</v>
      </c>
      <c r="E736" s="30">
        <f t="shared" si="51"/>
        <v>0</v>
      </c>
      <c r="F736" s="31">
        <f t="shared" si="52"/>
        <v>0</v>
      </c>
      <c r="G736" s="32">
        <f t="shared" si="53"/>
        <v>8.8757396449704123E-2</v>
      </c>
      <c r="H736" s="34">
        <f t="shared" si="50"/>
        <v>8.8757396449704123E-2</v>
      </c>
      <c r="I736" s="42"/>
      <c r="J736" s="38"/>
      <c r="K736" s="38"/>
      <c r="L736" s="1"/>
      <c r="M736" s="1"/>
      <c r="N736" s="1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40"/>
      <c r="AE736" s="40"/>
    </row>
    <row r="737" spans="1:31" x14ac:dyDescent="0.25">
      <c r="A737" s="2"/>
      <c r="B737" s="1"/>
      <c r="C737" s="22">
        <v>677</v>
      </c>
      <c r="D737" s="34">
        <f t="shared" si="54"/>
        <v>6.7700000000000005</v>
      </c>
      <c r="E737" s="30">
        <f t="shared" si="51"/>
        <v>0</v>
      </c>
      <c r="F737" s="31">
        <f t="shared" si="52"/>
        <v>0</v>
      </c>
      <c r="G737" s="32">
        <f t="shared" si="53"/>
        <v>8.8626292466765108E-2</v>
      </c>
      <c r="H737" s="34">
        <f t="shared" ref="H737:H800" si="55">SUM(E737:G737)</f>
        <v>8.8626292466765108E-2</v>
      </c>
      <c r="I737" s="42"/>
      <c r="J737" s="38"/>
      <c r="K737" s="38"/>
      <c r="L737" s="1"/>
      <c r="M737" s="1"/>
      <c r="N737" s="1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40"/>
      <c r="AE737" s="40"/>
    </row>
    <row r="738" spans="1:31" x14ac:dyDescent="0.25">
      <c r="A738" s="2"/>
      <c r="B738" s="1"/>
      <c r="C738" s="22">
        <v>678</v>
      </c>
      <c r="D738" s="34">
        <f t="shared" si="54"/>
        <v>6.78</v>
      </c>
      <c r="E738" s="30">
        <f t="shared" si="51"/>
        <v>0</v>
      </c>
      <c r="F738" s="31">
        <f t="shared" si="52"/>
        <v>0</v>
      </c>
      <c r="G738" s="32">
        <f t="shared" si="53"/>
        <v>8.8495575221238909E-2</v>
      </c>
      <c r="H738" s="34">
        <f t="shared" si="55"/>
        <v>8.8495575221238909E-2</v>
      </c>
      <c r="I738" s="42"/>
      <c r="J738" s="38"/>
      <c r="K738" s="38"/>
      <c r="L738" s="1"/>
      <c r="M738" s="1"/>
      <c r="N738" s="1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40"/>
      <c r="AE738" s="40"/>
    </row>
    <row r="739" spans="1:31" x14ac:dyDescent="0.25">
      <c r="A739" s="2"/>
      <c r="B739" s="1"/>
      <c r="C739" s="22">
        <v>679</v>
      </c>
      <c r="D739" s="34">
        <f t="shared" si="54"/>
        <v>6.79</v>
      </c>
      <c r="E739" s="30">
        <f t="shared" si="51"/>
        <v>0</v>
      </c>
      <c r="F739" s="31">
        <f t="shared" si="52"/>
        <v>0</v>
      </c>
      <c r="G739" s="32">
        <f t="shared" si="53"/>
        <v>8.836524300441824E-2</v>
      </c>
      <c r="H739" s="34">
        <f t="shared" si="55"/>
        <v>8.836524300441824E-2</v>
      </c>
      <c r="I739" s="42"/>
      <c r="J739" s="38"/>
      <c r="K739" s="38"/>
      <c r="L739" s="1"/>
      <c r="M739" s="1"/>
      <c r="N739" s="1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40"/>
      <c r="AE739" s="40"/>
    </row>
    <row r="740" spans="1:31" x14ac:dyDescent="0.25">
      <c r="A740" s="2"/>
      <c r="B740" s="1"/>
      <c r="C740" s="22">
        <v>680</v>
      </c>
      <c r="D740" s="34">
        <f t="shared" si="54"/>
        <v>6.8</v>
      </c>
      <c r="E740" s="30">
        <f t="shared" si="51"/>
        <v>0</v>
      </c>
      <c r="F740" s="31">
        <f t="shared" si="52"/>
        <v>0</v>
      </c>
      <c r="G740" s="32">
        <f t="shared" si="53"/>
        <v>8.8235294117647037E-2</v>
      </c>
      <c r="H740" s="34">
        <f t="shared" si="55"/>
        <v>8.8235294117647037E-2</v>
      </c>
      <c r="I740" s="42"/>
      <c r="J740" s="38"/>
      <c r="K740" s="38"/>
      <c r="L740" s="1"/>
      <c r="M740" s="1"/>
      <c r="N740" s="1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40"/>
      <c r="AE740" s="40"/>
    </row>
    <row r="741" spans="1:31" x14ac:dyDescent="0.25">
      <c r="A741" s="2"/>
      <c r="B741" s="1"/>
      <c r="C741" s="22">
        <v>681</v>
      </c>
      <c r="D741" s="34">
        <f t="shared" si="54"/>
        <v>6.8100000000000005</v>
      </c>
      <c r="E741" s="30">
        <f t="shared" si="51"/>
        <v>0</v>
      </c>
      <c r="F741" s="31">
        <f t="shared" si="52"/>
        <v>0</v>
      </c>
      <c r="G741" s="32">
        <f t="shared" si="53"/>
        <v>8.8105726872246673E-2</v>
      </c>
      <c r="H741" s="34">
        <f t="shared" si="55"/>
        <v>8.8105726872246673E-2</v>
      </c>
      <c r="I741" s="42"/>
      <c r="J741" s="38"/>
      <c r="K741" s="38"/>
      <c r="L741" s="1"/>
      <c r="M741" s="1"/>
      <c r="N741" s="1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40"/>
      <c r="AE741" s="40"/>
    </row>
    <row r="742" spans="1:31" x14ac:dyDescent="0.25">
      <c r="A742" s="2"/>
      <c r="B742" s="1"/>
      <c r="C742" s="22">
        <v>682</v>
      </c>
      <c r="D742" s="34">
        <f t="shared" si="54"/>
        <v>6.82</v>
      </c>
      <c r="E742" s="30">
        <f t="shared" si="51"/>
        <v>0</v>
      </c>
      <c r="F742" s="31">
        <f t="shared" si="52"/>
        <v>0</v>
      </c>
      <c r="G742" s="32">
        <f t="shared" si="53"/>
        <v>8.7976539589442793E-2</v>
      </c>
      <c r="H742" s="34">
        <f t="shared" si="55"/>
        <v>8.7976539589442793E-2</v>
      </c>
      <c r="I742" s="42"/>
      <c r="J742" s="38"/>
      <c r="K742" s="38"/>
      <c r="L742" s="1"/>
      <c r="M742" s="1"/>
      <c r="N742" s="1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40"/>
      <c r="AE742" s="40"/>
    </row>
    <row r="743" spans="1:31" x14ac:dyDescent="0.25">
      <c r="A743" s="2"/>
      <c r="B743" s="1"/>
      <c r="C743" s="22">
        <v>683</v>
      </c>
      <c r="D743" s="34">
        <f t="shared" si="54"/>
        <v>6.83</v>
      </c>
      <c r="E743" s="30">
        <f t="shared" si="51"/>
        <v>0</v>
      </c>
      <c r="F743" s="31">
        <f t="shared" si="52"/>
        <v>0</v>
      </c>
      <c r="G743" s="32">
        <f t="shared" si="53"/>
        <v>8.78477306002928E-2</v>
      </c>
      <c r="H743" s="34">
        <f t="shared" si="55"/>
        <v>8.78477306002928E-2</v>
      </c>
      <c r="I743" s="42"/>
      <c r="J743" s="38"/>
      <c r="K743" s="38"/>
      <c r="L743" s="1"/>
      <c r="M743" s="1"/>
      <c r="N743" s="1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40"/>
      <c r="AE743" s="40"/>
    </row>
    <row r="744" spans="1:31" x14ac:dyDescent="0.25">
      <c r="A744" s="2"/>
      <c r="B744" s="1"/>
      <c r="C744" s="22">
        <v>684</v>
      </c>
      <c r="D744" s="34">
        <f t="shared" si="54"/>
        <v>6.84</v>
      </c>
      <c r="E744" s="30">
        <f t="shared" si="51"/>
        <v>0</v>
      </c>
      <c r="F744" s="31">
        <f t="shared" si="52"/>
        <v>0</v>
      </c>
      <c r="G744" s="32">
        <f t="shared" si="53"/>
        <v>8.7719298245614016E-2</v>
      </c>
      <c r="H744" s="34">
        <f t="shared" si="55"/>
        <v>8.7719298245614016E-2</v>
      </c>
      <c r="I744" s="42"/>
      <c r="J744" s="38"/>
      <c r="K744" s="38"/>
      <c r="L744" s="1"/>
      <c r="M744" s="1"/>
      <c r="N744" s="1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40"/>
      <c r="AE744" s="40"/>
    </row>
    <row r="745" spans="1:31" x14ac:dyDescent="0.25">
      <c r="A745" s="2"/>
      <c r="B745" s="1"/>
      <c r="C745" s="22">
        <v>685</v>
      </c>
      <c r="D745" s="34">
        <f t="shared" si="54"/>
        <v>6.8500000000000005</v>
      </c>
      <c r="E745" s="30">
        <f t="shared" si="51"/>
        <v>0</v>
      </c>
      <c r="F745" s="31">
        <f t="shared" si="52"/>
        <v>0</v>
      </c>
      <c r="G745" s="32">
        <f t="shared" si="53"/>
        <v>8.7591240875912385E-2</v>
      </c>
      <c r="H745" s="34">
        <f t="shared" si="55"/>
        <v>8.7591240875912385E-2</v>
      </c>
      <c r="I745" s="42"/>
      <c r="J745" s="38"/>
      <c r="K745" s="38"/>
      <c r="L745" s="1"/>
      <c r="M745" s="1"/>
      <c r="N745" s="1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40"/>
      <c r="AE745" s="40"/>
    </row>
    <row r="746" spans="1:31" x14ac:dyDescent="0.25">
      <c r="A746" s="2"/>
      <c r="B746" s="1"/>
      <c r="C746" s="22">
        <v>686</v>
      </c>
      <c r="D746" s="34">
        <f t="shared" si="54"/>
        <v>6.86</v>
      </c>
      <c r="E746" s="30">
        <f t="shared" si="51"/>
        <v>0</v>
      </c>
      <c r="F746" s="31">
        <f t="shared" si="52"/>
        <v>0</v>
      </c>
      <c r="G746" s="32">
        <f t="shared" si="53"/>
        <v>8.7463556851311935E-2</v>
      </c>
      <c r="H746" s="34">
        <f t="shared" si="55"/>
        <v>8.7463556851311935E-2</v>
      </c>
      <c r="I746" s="42"/>
      <c r="J746" s="38"/>
      <c r="K746" s="38"/>
      <c r="L746" s="1"/>
      <c r="M746" s="1"/>
      <c r="N746" s="1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40"/>
      <c r="AE746" s="40"/>
    </row>
    <row r="747" spans="1:31" x14ac:dyDescent="0.25">
      <c r="A747" s="2"/>
      <c r="B747" s="1"/>
      <c r="C747" s="22">
        <v>687</v>
      </c>
      <c r="D747" s="34">
        <f t="shared" si="54"/>
        <v>6.87</v>
      </c>
      <c r="E747" s="30">
        <f t="shared" si="51"/>
        <v>0</v>
      </c>
      <c r="F747" s="31">
        <f t="shared" si="52"/>
        <v>0</v>
      </c>
      <c r="G747" s="32">
        <f t="shared" si="53"/>
        <v>8.7336244541484698E-2</v>
      </c>
      <c r="H747" s="34">
        <f t="shared" si="55"/>
        <v>8.7336244541484698E-2</v>
      </c>
      <c r="I747" s="42"/>
      <c r="J747" s="38"/>
      <c r="K747" s="38"/>
      <c r="L747" s="1"/>
      <c r="M747" s="1"/>
      <c r="N747" s="1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40"/>
      <c r="AE747" s="40"/>
    </row>
    <row r="748" spans="1:31" x14ac:dyDescent="0.25">
      <c r="A748" s="2"/>
      <c r="B748" s="1"/>
      <c r="C748" s="22">
        <v>688</v>
      </c>
      <c r="D748" s="34">
        <f t="shared" si="54"/>
        <v>6.88</v>
      </c>
      <c r="E748" s="30">
        <f t="shared" si="51"/>
        <v>0</v>
      </c>
      <c r="F748" s="31">
        <f t="shared" si="52"/>
        <v>0</v>
      </c>
      <c r="G748" s="32">
        <f t="shared" si="53"/>
        <v>8.7209302325581384E-2</v>
      </c>
      <c r="H748" s="34">
        <f t="shared" si="55"/>
        <v>8.7209302325581384E-2</v>
      </c>
      <c r="I748" s="42"/>
      <c r="J748" s="38"/>
      <c r="K748" s="38"/>
      <c r="L748" s="1"/>
      <c r="M748" s="1"/>
      <c r="N748" s="1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40"/>
      <c r="AE748" s="40"/>
    </row>
    <row r="749" spans="1:31" x14ac:dyDescent="0.25">
      <c r="A749" s="2"/>
      <c r="B749" s="1"/>
      <c r="C749" s="22">
        <v>689</v>
      </c>
      <c r="D749" s="34">
        <f t="shared" si="54"/>
        <v>6.8900000000000006</v>
      </c>
      <c r="E749" s="30">
        <f t="shared" si="51"/>
        <v>0</v>
      </c>
      <c r="F749" s="31">
        <f t="shared" si="52"/>
        <v>0</v>
      </c>
      <c r="G749" s="32">
        <f t="shared" si="53"/>
        <v>8.7082728592162525E-2</v>
      </c>
      <c r="H749" s="34">
        <f t="shared" si="55"/>
        <v>8.7082728592162525E-2</v>
      </c>
      <c r="I749" s="42"/>
      <c r="J749" s="38"/>
      <c r="K749" s="38"/>
      <c r="L749" s="1"/>
      <c r="M749" s="1"/>
      <c r="N749" s="1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40"/>
      <c r="AE749" s="40"/>
    </row>
    <row r="750" spans="1:31" x14ac:dyDescent="0.25">
      <c r="A750" s="2"/>
      <c r="B750" s="1"/>
      <c r="C750" s="22">
        <v>690</v>
      </c>
      <c r="D750" s="34">
        <f t="shared" si="54"/>
        <v>6.9</v>
      </c>
      <c r="E750" s="30">
        <f t="shared" si="51"/>
        <v>0</v>
      </c>
      <c r="F750" s="31">
        <f t="shared" si="52"/>
        <v>0</v>
      </c>
      <c r="G750" s="32">
        <f t="shared" si="53"/>
        <v>8.6956521739130405E-2</v>
      </c>
      <c r="H750" s="34">
        <f t="shared" si="55"/>
        <v>8.6956521739130405E-2</v>
      </c>
      <c r="I750" s="42"/>
      <c r="J750" s="38"/>
      <c r="K750" s="38"/>
      <c r="L750" s="1"/>
      <c r="M750" s="1"/>
      <c r="N750" s="1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40"/>
      <c r="AE750" s="40"/>
    </row>
    <row r="751" spans="1:31" x14ac:dyDescent="0.25">
      <c r="A751" s="2"/>
      <c r="B751" s="1"/>
      <c r="C751" s="22">
        <v>691</v>
      </c>
      <c r="D751" s="34">
        <f t="shared" si="54"/>
        <v>6.91</v>
      </c>
      <c r="E751" s="30">
        <f t="shared" si="51"/>
        <v>0</v>
      </c>
      <c r="F751" s="31">
        <f t="shared" si="52"/>
        <v>0</v>
      </c>
      <c r="G751" s="32">
        <f t="shared" si="53"/>
        <v>8.6830680173661343E-2</v>
      </c>
      <c r="H751" s="34">
        <f t="shared" si="55"/>
        <v>8.6830680173661343E-2</v>
      </c>
      <c r="I751" s="42"/>
      <c r="J751" s="38"/>
      <c r="K751" s="38"/>
      <c r="L751" s="1"/>
      <c r="M751" s="1"/>
      <c r="N751" s="1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40"/>
      <c r="AE751" s="40"/>
    </row>
    <row r="752" spans="1:31" x14ac:dyDescent="0.25">
      <c r="A752" s="2"/>
      <c r="B752" s="1"/>
      <c r="C752" s="22">
        <v>692</v>
      </c>
      <c r="D752" s="34">
        <f t="shared" si="54"/>
        <v>6.92</v>
      </c>
      <c r="E752" s="30">
        <f t="shared" si="51"/>
        <v>0</v>
      </c>
      <c r="F752" s="31">
        <f t="shared" si="52"/>
        <v>0</v>
      </c>
      <c r="G752" s="32">
        <f t="shared" si="53"/>
        <v>8.6705202312138713E-2</v>
      </c>
      <c r="H752" s="34">
        <f t="shared" si="55"/>
        <v>8.6705202312138713E-2</v>
      </c>
      <c r="I752" s="42"/>
      <c r="J752" s="38"/>
      <c r="K752" s="38"/>
      <c r="L752" s="1"/>
      <c r="M752" s="1"/>
      <c r="N752" s="1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40"/>
      <c r="AE752" s="40"/>
    </row>
    <row r="753" spans="1:31" x14ac:dyDescent="0.25">
      <c r="A753" s="2"/>
      <c r="B753" s="1"/>
      <c r="C753" s="22">
        <v>693</v>
      </c>
      <c r="D753" s="34">
        <f t="shared" si="54"/>
        <v>6.93</v>
      </c>
      <c r="E753" s="30">
        <f t="shared" si="51"/>
        <v>0</v>
      </c>
      <c r="F753" s="31">
        <f t="shared" si="52"/>
        <v>0</v>
      </c>
      <c r="G753" s="32">
        <f t="shared" si="53"/>
        <v>8.6580086580086563E-2</v>
      </c>
      <c r="H753" s="34">
        <f t="shared" si="55"/>
        <v>8.6580086580086563E-2</v>
      </c>
      <c r="I753" s="42"/>
      <c r="J753" s="38"/>
      <c r="K753" s="38"/>
      <c r="L753" s="1"/>
      <c r="M753" s="1"/>
      <c r="N753" s="1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40"/>
      <c r="AE753" s="40"/>
    </row>
    <row r="754" spans="1:31" x14ac:dyDescent="0.25">
      <c r="A754" s="2"/>
      <c r="B754" s="1"/>
      <c r="C754" s="22">
        <v>694</v>
      </c>
      <c r="D754" s="34">
        <f t="shared" si="54"/>
        <v>6.94</v>
      </c>
      <c r="E754" s="30">
        <f t="shared" si="51"/>
        <v>0</v>
      </c>
      <c r="F754" s="31">
        <f t="shared" si="52"/>
        <v>0</v>
      </c>
      <c r="G754" s="32">
        <f t="shared" si="53"/>
        <v>8.6455331412103723E-2</v>
      </c>
      <c r="H754" s="34">
        <f t="shared" si="55"/>
        <v>8.6455331412103723E-2</v>
      </c>
      <c r="I754" s="42"/>
      <c r="J754" s="38"/>
      <c r="K754" s="38"/>
      <c r="L754" s="1"/>
      <c r="M754" s="1"/>
      <c r="N754" s="1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40"/>
      <c r="AE754" s="40"/>
    </row>
    <row r="755" spans="1:31" x14ac:dyDescent="0.25">
      <c r="A755" s="2"/>
      <c r="B755" s="1"/>
      <c r="C755" s="22">
        <v>695</v>
      </c>
      <c r="D755" s="34">
        <f t="shared" si="54"/>
        <v>6.95</v>
      </c>
      <c r="E755" s="30">
        <f t="shared" si="51"/>
        <v>0</v>
      </c>
      <c r="F755" s="31">
        <f t="shared" si="52"/>
        <v>0</v>
      </c>
      <c r="G755" s="32">
        <f t="shared" si="53"/>
        <v>8.6330935251798538E-2</v>
      </c>
      <c r="H755" s="34">
        <f t="shared" si="55"/>
        <v>8.6330935251798538E-2</v>
      </c>
      <c r="I755" s="42"/>
      <c r="J755" s="38"/>
      <c r="K755" s="38"/>
      <c r="L755" s="1"/>
      <c r="M755" s="1"/>
      <c r="N755" s="1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40"/>
      <c r="AE755" s="40"/>
    </row>
    <row r="756" spans="1:31" x14ac:dyDescent="0.25">
      <c r="A756" s="2"/>
      <c r="B756" s="1"/>
      <c r="C756" s="22">
        <v>696</v>
      </c>
      <c r="D756" s="34">
        <f t="shared" si="54"/>
        <v>6.96</v>
      </c>
      <c r="E756" s="30">
        <f t="shared" si="51"/>
        <v>0</v>
      </c>
      <c r="F756" s="31">
        <f t="shared" si="52"/>
        <v>0</v>
      </c>
      <c r="G756" s="32">
        <f t="shared" si="53"/>
        <v>8.6206896551724116E-2</v>
      </c>
      <c r="H756" s="34">
        <f t="shared" si="55"/>
        <v>8.6206896551724116E-2</v>
      </c>
      <c r="I756" s="42"/>
      <c r="J756" s="38"/>
      <c r="K756" s="38"/>
      <c r="L756" s="1"/>
      <c r="M756" s="1"/>
      <c r="N756" s="1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40"/>
      <c r="AE756" s="40"/>
    </row>
    <row r="757" spans="1:31" x14ac:dyDescent="0.25">
      <c r="A757" s="2"/>
      <c r="B757" s="1"/>
      <c r="C757" s="22">
        <v>697</v>
      </c>
      <c r="D757" s="34">
        <f t="shared" si="54"/>
        <v>6.97</v>
      </c>
      <c r="E757" s="30">
        <f t="shared" si="51"/>
        <v>0</v>
      </c>
      <c r="F757" s="31">
        <f t="shared" si="52"/>
        <v>0</v>
      </c>
      <c r="G757" s="32">
        <f t="shared" si="53"/>
        <v>8.6083213773314182E-2</v>
      </c>
      <c r="H757" s="34">
        <f t="shared" si="55"/>
        <v>8.6083213773314182E-2</v>
      </c>
      <c r="I757" s="42"/>
      <c r="J757" s="38"/>
      <c r="K757" s="38"/>
      <c r="L757" s="1"/>
      <c r="M757" s="1"/>
      <c r="N757" s="1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40"/>
      <c r="AE757" s="40"/>
    </row>
    <row r="758" spans="1:31" x14ac:dyDescent="0.25">
      <c r="A758" s="2"/>
      <c r="B758" s="1"/>
      <c r="C758" s="22">
        <v>698</v>
      </c>
      <c r="D758" s="34">
        <f t="shared" si="54"/>
        <v>6.98</v>
      </c>
      <c r="E758" s="30">
        <f t="shared" si="51"/>
        <v>0</v>
      </c>
      <c r="F758" s="31">
        <f t="shared" si="52"/>
        <v>0</v>
      </c>
      <c r="G758" s="32">
        <f t="shared" si="53"/>
        <v>8.5959885386819465E-2</v>
      </c>
      <c r="H758" s="34">
        <f t="shared" si="55"/>
        <v>8.5959885386819465E-2</v>
      </c>
      <c r="I758" s="42"/>
      <c r="J758" s="38"/>
      <c r="K758" s="38"/>
      <c r="L758" s="1"/>
      <c r="M758" s="1"/>
      <c r="N758" s="1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40"/>
      <c r="AE758" s="40"/>
    </row>
    <row r="759" spans="1:31" x14ac:dyDescent="0.25">
      <c r="A759" s="2"/>
      <c r="B759" s="1"/>
      <c r="C759" s="22">
        <v>699</v>
      </c>
      <c r="D759" s="34">
        <f t="shared" si="54"/>
        <v>6.99</v>
      </c>
      <c r="E759" s="30">
        <f t="shared" si="51"/>
        <v>0</v>
      </c>
      <c r="F759" s="31">
        <f t="shared" si="52"/>
        <v>0</v>
      </c>
      <c r="G759" s="32">
        <f t="shared" si="53"/>
        <v>8.5836909871244607E-2</v>
      </c>
      <c r="H759" s="34">
        <f t="shared" si="55"/>
        <v>8.5836909871244607E-2</v>
      </c>
      <c r="I759" s="42"/>
      <c r="J759" s="38"/>
      <c r="K759" s="38"/>
      <c r="L759" s="1"/>
      <c r="M759" s="1"/>
      <c r="N759" s="1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40"/>
      <c r="AE759" s="40"/>
    </row>
    <row r="760" spans="1:31" x14ac:dyDescent="0.25">
      <c r="A760" s="2"/>
      <c r="B760" s="1"/>
      <c r="C760" s="22">
        <v>700</v>
      </c>
      <c r="D760" s="34">
        <f t="shared" si="54"/>
        <v>7</v>
      </c>
      <c r="E760" s="30">
        <f t="shared" si="51"/>
        <v>0</v>
      </c>
      <c r="F760" s="31">
        <f t="shared" si="52"/>
        <v>0</v>
      </c>
      <c r="G760" s="32">
        <f t="shared" si="53"/>
        <v>8.5714285714285701E-2</v>
      </c>
      <c r="H760" s="34">
        <f t="shared" si="55"/>
        <v>8.5714285714285701E-2</v>
      </c>
      <c r="I760" s="42"/>
      <c r="J760" s="38"/>
      <c r="K760" s="38"/>
      <c r="L760" s="1"/>
      <c r="M760" s="1"/>
      <c r="N760" s="1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40"/>
      <c r="AE760" s="40"/>
    </row>
    <row r="761" spans="1:31" x14ac:dyDescent="0.25">
      <c r="A761" s="2"/>
      <c r="B761" s="1"/>
      <c r="C761" s="22">
        <v>701</v>
      </c>
      <c r="D761" s="34">
        <f t="shared" si="54"/>
        <v>7.01</v>
      </c>
      <c r="E761" s="30">
        <f t="shared" si="51"/>
        <v>0</v>
      </c>
      <c r="F761" s="31">
        <f t="shared" si="52"/>
        <v>0</v>
      </c>
      <c r="G761" s="32">
        <f t="shared" si="53"/>
        <v>8.5592011412268174E-2</v>
      </c>
      <c r="H761" s="34">
        <f t="shared" si="55"/>
        <v>8.5592011412268174E-2</v>
      </c>
      <c r="I761" s="42"/>
      <c r="J761" s="38"/>
      <c r="K761" s="38"/>
      <c r="L761" s="1"/>
      <c r="M761" s="1"/>
      <c r="N761" s="1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40"/>
      <c r="AE761" s="40"/>
    </row>
    <row r="762" spans="1:31" x14ac:dyDescent="0.25">
      <c r="A762" s="2"/>
      <c r="B762" s="1"/>
      <c r="C762" s="22">
        <v>702</v>
      </c>
      <c r="D762" s="34">
        <f t="shared" si="54"/>
        <v>7.0200000000000005</v>
      </c>
      <c r="E762" s="30">
        <f t="shared" si="51"/>
        <v>0</v>
      </c>
      <c r="F762" s="31">
        <f t="shared" si="52"/>
        <v>0</v>
      </c>
      <c r="G762" s="32">
        <f t="shared" si="53"/>
        <v>8.5470085470085444E-2</v>
      </c>
      <c r="H762" s="34">
        <f t="shared" si="55"/>
        <v>8.5470085470085444E-2</v>
      </c>
      <c r="I762" s="42"/>
      <c r="J762" s="38"/>
      <c r="K762" s="38"/>
      <c r="L762" s="1"/>
      <c r="M762" s="1"/>
      <c r="N762" s="1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40"/>
      <c r="AE762" s="40"/>
    </row>
    <row r="763" spans="1:31" x14ac:dyDescent="0.25">
      <c r="A763" s="2"/>
      <c r="B763" s="1"/>
      <c r="C763" s="22">
        <v>703</v>
      </c>
      <c r="D763" s="34">
        <f t="shared" si="54"/>
        <v>7.03</v>
      </c>
      <c r="E763" s="30">
        <f t="shared" si="51"/>
        <v>0</v>
      </c>
      <c r="F763" s="31">
        <f t="shared" si="52"/>
        <v>0</v>
      </c>
      <c r="G763" s="32">
        <f t="shared" si="53"/>
        <v>8.5348506401137961E-2</v>
      </c>
      <c r="H763" s="34">
        <f t="shared" si="55"/>
        <v>8.5348506401137961E-2</v>
      </c>
      <c r="I763" s="42"/>
      <c r="J763" s="38"/>
      <c r="K763" s="38"/>
      <c r="L763" s="1"/>
      <c r="M763" s="1"/>
      <c r="N763" s="1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40"/>
      <c r="AE763" s="40"/>
    </row>
    <row r="764" spans="1:31" x14ac:dyDescent="0.25">
      <c r="A764" s="2"/>
      <c r="B764" s="1"/>
      <c r="C764" s="22">
        <v>704</v>
      </c>
      <c r="D764" s="34">
        <f t="shared" si="54"/>
        <v>7.04</v>
      </c>
      <c r="E764" s="30">
        <f t="shared" ref="E764:E827" si="56">IF(D764&lt;$C$25,0.4+5*D764,0)</f>
        <v>0</v>
      </c>
      <c r="F764" s="31">
        <f t="shared" ref="F764:F827" si="57">IF(AND(D764&gt;=$C$25,D764&lt;=$C$26),$C$12,0)</f>
        <v>0</v>
      </c>
      <c r="G764" s="32">
        <f t="shared" ref="G764:G827" si="58">IF(D764&gt;$C$26,$C$13/D764,0)</f>
        <v>8.5227272727272707E-2</v>
      </c>
      <c r="H764" s="34">
        <f t="shared" si="55"/>
        <v>8.5227272727272707E-2</v>
      </c>
      <c r="I764" s="42"/>
      <c r="J764" s="38"/>
      <c r="K764" s="38"/>
      <c r="L764" s="1"/>
      <c r="M764" s="1"/>
      <c r="N764" s="1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40"/>
      <c r="AE764" s="40"/>
    </row>
    <row r="765" spans="1:31" x14ac:dyDescent="0.25">
      <c r="A765" s="2"/>
      <c r="B765" s="1"/>
      <c r="C765" s="22">
        <v>705</v>
      </c>
      <c r="D765" s="34">
        <f t="shared" ref="D765:D828" si="59">$D$55*C765</f>
        <v>7.05</v>
      </c>
      <c r="E765" s="30">
        <f t="shared" si="56"/>
        <v>0</v>
      </c>
      <c r="F765" s="31">
        <f t="shared" si="57"/>
        <v>0</v>
      </c>
      <c r="G765" s="32">
        <f t="shared" si="58"/>
        <v>8.5106382978723388E-2</v>
      </c>
      <c r="H765" s="34">
        <f t="shared" si="55"/>
        <v>8.5106382978723388E-2</v>
      </c>
      <c r="I765" s="42"/>
      <c r="J765" s="38"/>
      <c r="K765" s="38"/>
      <c r="L765" s="1"/>
      <c r="M765" s="1"/>
      <c r="N765" s="1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40"/>
      <c r="AE765" s="40"/>
    </row>
    <row r="766" spans="1:31" x14ac:dyDescent="0.25">
      <c r="A766" s="2"/>
      <c r="B766" s="1"/>
      <c r="C766" s="22">
        <v>706</v>
      </c>
      <c r="D766" s="34">
        <f t="shared" si="59"/>
        <v>7.0600000000000005</v>
      </c>
      <c r="E766" s="30">
        <f t="shared" si="56"/>
        <v>0</v>
      </c>
      <c r="F766" s="31">
        <f t="shared" si="57"/>
        <v>0</v>
      </c>
      <c r="G766" s="32">
        <f t="shared" si="58"/>
        <v>8.4985835694050965E-2</v>
      </c>
      <c r="H766" s="34">
        <f t="shared" si="55"/>
        <v>8.4985835694050965E-2</v>
      </c>
      <c r="I766" s="42"/>
      <c r="J766" s="38"/>
      <c r="K766" s="38"/>
      <c r="L766" s="1"/>
      <c r="M766" s="1"/>
      <c r="N766" s="1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40"/>
      <c r="AE766" s="40"/>
    </row>
    <row r="767" spans="1:31" x14ac:dyDescent="0.25">
      <c r="A767" s="2"/>
      <c r="B767" s="1"/>
      <c r="C767" s="22">
        <v>707</v>
      </c>
      <c r="D767" s="34">
        <f t="shared" si="59"/>
        <v>7.07</v>
      </c>
      <c r="E767" s="30">
        <f t="shared" si="56"/>
        <v>0</v>
      </c>
      <c r="F767" s="31">
        <f t="shared" si="57"/>
        <v>0</v>
      </c>
      <c r="G767" s="32">
        <f t="shared" si="58"/>
        <v>8.486562942008484E-2</v>
      </c>
      <c r="H767" s="34">
        <f t="shared" si="55"/>
        <v>8.486562942008484E-2</v>
      </c>
      <c r="I767" s="42"/>
      <c r="J767" s="38"/>
      <c r="K767" s="38"/>
      <c r="L767" s="1"/>
      <c r="M767" s="1"/>
      <c r="N767" s="1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40"/>
      <c r="AE767" s="40"/>
    </row>
    <row r="768" spans="1:31" x14ac:dyDescent="0.25">
      <c r="A768" s="2"/>
      <c r="B768" s="1"/>
      <c r="C768" s="22">
        <v>708</v>
      </c>
      <c r="D768" s="34">
        <f t="shared" si="59"/>
        <v>7.08</v>
      </c>
      <c r="E768" s="30">
        <f t="shared" si="56"/>
        <v>0</v>
      </c>
      <c r="F768" s="31">
        <f t="shared" si="57"/>
        <v>0</v>
      </c>
      <c r="G768" s="32">
        <f t="shared" si="58"/>
        <v>8.4745762711864389E-2</v>
      </c>
      <c r="H768" s="34">
        <f t="shared" si="55"/>
        <v>8.4745762711864389E-2</v>
      </c>
      <c r="I768" s="42"/>
      <c r="J768" s="38"/>
      <c r="K768" s="38"/>
      <c r="L768" s="1"/>
      <c r="M768" s="1"/>
      <c r="N768" s="1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40"/>
      <c r="AE768" s="40"/>
    </row>
    <row r="769" spans="1:31" x14ac:dyDescent="0.25">
      <c r="A769" s="2"/>
      <c r="B769" s="1"/>
      <c r="C769" s="22">
        <v>709</v>
      </c>
      <c r="D769" s="34">
        <f t="shared" si="59"/>
        <v>7.09</v>
      </c>
      <c r="E769" s="30">
        <f t="shared" si="56"/>
        <v>0</v>
      </c>
      <c r="F769" s="31">
        <f t="shared" si="57"/>
        <v>0</v>
      </c>
      <c r="G769" s="32">
        <f t="shared" si="58"/>
        <v>8.462623413258108E-2</v>
      </c>
      <c r="H769" s="34">
        <f t="shared" si="55"/>
        <v>8.462623413258108E-2</v>
      </c>
      <c r="I769" s="42"/>
      <c r="J769" s="38"/>
      <c r="K769" s="38"/>
      <c r="L769" s="1"/>
      <c r="M769" s="1"/>
      <c r="N769" s="1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40"/>
      <c r="AE769" s="40"/>
    </row>
    <row r="770" spans="1:31" x14ac:dyDescent="0.25">
      <c r="A770" s="2"/>
      <c r="B770" s="1"/>
      <c r="C770" s="22">
        <v>710</v>
      </c>
      <c r="D770" s="34">
        <f t="shared" si="59"/>
        <v>7.1000000000000005</v>
      </c>
      <c r="E770" s="30">
        <f t="shared" si="56"/>
        <v>0</v>
      </c>
      <c r="F770" s="31">
        <f t="shared" si="57"/>
        <v>0</v>
      </c>
      <c r="G770" s="32">
        <f t="shared" si="58"/>
        <v>8.4507042253521097E-2</v>
      </c>
      <c r="H770" s="34">
        <f t="shared" si="55"/>
        <v>8.4507042253521097E-2</v>
      </c>
      <c r="I770" s="42"/>
      <c r="J770" s="38"/>
      <c r="K770" s="38"/>
      <c r="L770" s="1"/>
      <c r="M770" s="1"/>
      <c r="N770" s="1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40"/>
      <c r="AE770" s="40"/>
    </row>
    <row r="771" spans="1:31" x14ac:dyDescent="0.25">
      <c r="A771" s="2"/>
      <c r="B771" s="1"/>
      <c r="C771" s="22">
        <v>711</v>
      </c>
      <c r="D771" s="34">
        <f t="shared" si="59"/>
        <v>7.11</v>
      </c>
      <c r="E771" s="30">
        <f t="shared" si="56"/>
        <v>0</v>
      </c>
      <c r="F771" s="31">
        <f t="shared" si="57"/>
        <v>0</v>
      </c>
      <c r="G771" s="32">
        <f t="shared" si="58"/>
        <v>8.4388185654008421E-2</v>
      </c>
      <c r="H771" s="34">
        <f t="shared" si="55"/>
        <v>8.4388185654008421E-2</v>
      </c>
      <c r="I771" s="42"/>
      <c r="J771" s="38"/>
      <c r="K771" s="38"/>
      <c r="L771" s="1"/>
      <c r="M771" s="1"/>
      <c r="N771" s="1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40"/>
      <c r="AE771" s="40"/>
    </row>
    <row r="772" spans="1:31" x14ac:dyDescent="0.25">
      <c r="A772" s="2"/>
      <c r="B772" s="1"/>
      <c r="C772" s="22">
        <v>712</v>
      </c>
      <c r="D772" s="34">
        <f t="shared" si="59"/>
        <v>7.12</v>
      </c>
      <c r="E772" s="30">
        <f t="shared" si="56"/>
        <v>0</v>
      </c>
      <c r="F772" s="31">
        <f t="shared" si="57"/>
        <v>0</v>
      </c>
      <c r="G772" s="32">
        <f t="shared" si="58"/>
        <v>8.4269662921348298E-2</v>
      </c>
      <c r="H772" s="34">
        <f t="shared" si="55"/>
        <v>8.4269662921348298E-2</v>
      </c>
      <c r="I772" s="42"/>
      <c r="J772" s="38"/>
      <c r="K772" s="38"/>
      <c r="L772" s="1"/>
      <c r="M772" s="1"/>
      <c r="N772" s="1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40"/>
      <c r="AE772" s="40"/>
    </row>
    <row r="773" spans="1:31" x14ac:dyDescent="0.25">
      <c r="A773" s="2"/>
      <c r="B773" s="1"/>
      <c r="C773" s="22">
        <v>713</v>
      </c>
      <c r="D773" s="34">
        <f t="shared" si="59"/>
        <v>7.13</v>
      </c>
      <c r="E773" s="30">
        <f t="shared" si="56"/>
        <v>0</v>
      </c>
      <c r="F773" s="31">
        <f t="shared" si="57"/>
        <v>0</v>
      </c>
      <c r="G773" s="32">
        <f t="shared" si="58"/>
        <v>8.4151472650771372E-2</v>
      </c>
      <c r="H773" s="34">
        <f t="shared" si="55"/>
        <v>8.4151472650771372E-2</v>
      </c>
      <c r="I773" s="42"/>
      <c r="J773" s="38"/>
      <c r="K773" s="38"/>
      <c r="L773" s="1"/>
      <c r="M773" s="1"/>
      <c r="N773" s="1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40"/>
      <c r="AE773" s="40"/>
    </row>
    <row r="774" spans="1:31" x14ac:dyDescent="0.25">
      <c r="A774" s="2"/>
      <c r="B774" s="1"/>
      <c r="C774" s="22">
        <v>714</v>
      </c>
      <c r="D774" s="34">
        <f t="shared" si="59"/>
        <v>7.1400000000000006</v>
      </c>
      <c r="E774" s="30">
        <f t="shared" si="56"/>
        <v>0</v>
      </c>
      <c r="F774" s="31">
        <f t="shared" si="57"/>
        <v>0</v>
      </c>
      <c r="G774" s="32">
        <f t="shared" si="58"/>
        <v>8.403361344537813E-2</v>
      </c>
      <c r="H774" s="34">
        <f t="shared" si="55"/>
        <v>8.403361344537813E-2</v>
      </c>
      <c r="I774" s="42"/>
      <c r="J774" s="38"/>
      <c r="K774" s="38"/>
      <c r="L774" s="1"/>
      <c r="M774" s="1"/>
      <c r="N774" s="1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40"/>
      <c r="AE774" s="40"/>
    </row>
    <row r="775" spans="1:31" x14ac:dyDescent="0.25">
      <c r="A775" s="2"/>
      <c r="B775" s="1"/>
      <c r="C775" s="22">
        <v>715</v>
      </c>
      <c r="D775" s="34">
        <f t="shared" si="59"/>
        <v>7.15</v>
      </c>
      <c r="E775" s="30">
        <f t="shared" si="56"/>
        <v>0</v>
      </c>
      <c r="F775" s="31">
        <f t="shared" si="57"/>
        <v>0</v>
      </c>
      <c r="G775" s="32">
        <f t="shared" si="58"/>
        <v>8.3916083916083892E-2</v>
      </c>
      <c r="H775" s="34">
        <f t="shared" si="55"/>
        <v>8.3916083916083892E-2</v>
      </c>
      <c r="I775" s="42"/>
      <c r="J775" s="38"/>
      <c r="K775" s="38"/>
      <c r="L775" s="1"/>
      <c r="M775" s="1"/>
      <c r="N775" s="1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40"/>
      <c r="AE775" s="40"/>
    </row>
    <row r="776" spans="1:31" x14ac:dyDescent="0.25">
      <c r="A776" s="2"/>
      <c r="B776" s="1"/>
      <c r="C776" s="22">
        <v>716</v>
      </c>
      <c r="D776" s="34">
        <f t="shared" si="59"/>
        <v>7.16</v>
      </c>
      <c r="E776" s="30">
        <f t="shared" si="56"/>
        <v>0</v>
      </c>
      <c r="F776" s="31">
        <f t="shared" si="57"/>
        <v>0</v>
      </c>
      <c r="G776" s="32">
        <f t="shared" si="58"/>
        <v>8.3798882681564227E-2</v>
      </c>
      <c r="H776" s="34">
        <f t="shared" si="55"/>
        <v>8.3798882681564227E-2</v>
      </c>
      <c r="I776" s="42"/>
      <c r="J776" s="38"/>
      <c r="K776" s="38"/>
      <c r="L776" s="1"/>
      <c r="M776" s="1"/>
      <c r="N776" s="1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40"/>
      <c r="AE776" s="40"/>
    </row>
    <row r="777" spans="1:31" x14ac:dyDescent="0.25">
      <c r="A777" s="2"/>
      <c r="B777" s="1"/>
      <c r="C777" s="22">
        <v>717</v>
      </c>
      <c r="D777" s="34">
        <f t="shared" si="59"/>
        <v>7.17</v>
      </c>
      <c r="E777" s="30">
        <f t="shared" si="56"/>
        <v>0</v>
      </c>
      <c r="F777" s="31">
        <f t="shared" si="57"/>
        <v>0</v>
      </c>
      <c r="G777" s="32">
        <f t="shared" si="58"/>
        <v>8.3682008368200819E-2</v>
      </c>
      <c r="H777" s="34">
        <f t="shared" si="55"/>
        <v>8.3682008368200819E-2</v>
      </c>
      <c r="I777" s="42"/>
      <c r="J777" s="38"/>
      <c r="K777" s="38"/>
      <c r="L777" s="1"/>
      <c r="M777" s="1"/>
      <c r="N777" s="1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40"/>
      <c r="AE777" s="40"/>
    </row>
    <row r="778" spans="1:31" x14ac:dyDescent="0.25">
      <c r="A778" s="2"/>
      <c r="B778" s="1"/>
      <c r="C778" s="22">
        <v>718</v>
      </c>
      <c r="D778" s="34">
        <f t="shared" si="59"/>
        <v>7.18</v>
      </c>
      <c r="E778" s="30">
        <f t="shared" si="56"/>
        <v>0</v>
      </c>
      <c r="F778" s="31">
        <f t="shared" si="57"/>
        <v>0</v>
      </c>
      <c r="G778" s="32">
        <f t="shared" si="58"/>
        <v>8.3565459610027842E-2</v>
      </c>
      <c r="H778" s="34">
        <f t="shared" si="55"/>
        <v>8.3565459610027842E-2</v>
      </c>
      <c r="I778" s="42"/>
      <c r="J778" s="38"/>
      <c r="K778" s="38"/>
      <c r="L778" s="1"/>
      <c r="M778" s="1"/>
      <c r="N778" s="1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40"/>
      <c r="AE778" s="40"/>
    </row>
    <row r="779" spans="1:31" x14ac:dyDescent="0.25">
      <c r="A779" s="2"/>
      <c r="B779" s="1"/>
      <c r="C779" s="22">
        <v>719</v>
      </c>
      <c r="D779" s="34">
        <f t="shared" si="59"/>
        <v>7.19</v>
      </c>
      <c r="E779" s="30">
        <f t="shared" si="56"/>
        <v>0</v>
      </c>
      <c r="F779" s="31">
        <f t="shared" si="57"/>
        <v>0</v>
      </c>
      <c r="G779" s="32">
        <f t="shared" si="58"/>
        <v>8.3449235048678697E-2</v>
      </c>
      <c r="H779" s="34">
        <f t="shared" si="55"/>
        <v>8.3449235048678697E-2</v>
      </c>
      <c r="I779" s="42"/>
      <c r="J779" s="38"/>
      <c r="K779" s="38"/>
      <c r="L779" s="1"/>
      <c r="M779" s="1"/>
      <c r="N779" s="1"/>
      <c r="O779" s="39"/>
      <c r="P779" s="39"/>
      <c r="Q779" s="39"/>
      <c r="R779" s="39"/>
      <c r="S779" s="41"/>
      <c r="T779" s="41"/>
      <c r="U779" s="39"/>
      <c r="V779" s="39"/>
      <c r="W779" s="39"/>
      <c r="X779" s="39"/>
      <c r="Y779" s="39"/>
      <c r="Z779" s="39"/>
      <c r="AA779" s="39"/>
      <c r="AB779" s="39"/>
      <c r="AC779" s="39"/>
      <c r="AD779" s="40"/>
      <c r="AE779" s="40"/>
    </row>
    <row r="780" spans="1:31" x14ac:dyDescent="0.25">
      <c r="A780" s="2"/>
      <c r="B780" s="1"/>
      <c r="C780" s="22">
        <v>720</v>
      </c>
      <c r="D780" s="34">
        <f t="shared" si="59"/>
        <v>7.2</v>
      </c>
      <c r="E780" s="30">
        <f t="shared" si="56"/>
        <v>0</v>
      </c>
      <c r="F780" s="31">
        <f t="shared" si="57"/>
        <v>0</v>
      </c>
      <c r="G780" s="32">
        <f t="shared" si="58"/>
        <v>8.3333333333333315E-2</v>
      </c>
      <c r="H780" s="34">
        <f t="shared" si="55"/>
        <v>8.3333333333333315E-2</v>
      </c>
      <c r="I780" s="42"/>
      <c r="J780" s="38"/>
      <c r="K780" s="38"/>
      <c r="L780" s="1"/>
      <c r="M780" s="1"/>
      <c r="N780" s="1"/>
      <c r="O780" s="39"/>
      <c r="P780" s="39"/>
      <c r="Q780" s="39"/>
      <c r="R780" s="39"/>
      <c r="S780" s="41"/>
      <c r="T780" s="41"/>
      <c r="U780" s="39"/>
      <c r="V780" s="39"/>
      <c r="W780" s="39"/>
      <c r="X780" s="39"/>
      <c r="Y780" s="39"/>
      <c r="Z780" s="39"/>
      <c r="AA780" s="39"/>
      <c r="AB780" s="39"/>
      <c r="AC780" s="39"/>
      <c r="AD780" s="40"/>
      <c r="AE780" s="40"/>
    </row>
    <row r="781" spans="1:31" x14ac:dyDescent="0.25">
      <c r="A781" s="2"/>
      <c r="B781" s="1"/>
      <c r="C781" s="22">
        <v>721</v>
      </c>
      <c r="D781" s="34">
        <f t="shared" si="59"/>
        <v>7.21</v>
      </c>
      <c r="E781" s="30">
        <f t="shared" si="56"/>
        <v>0</v>
      </c>
      <c r="F781" s="31">
        <f t="shared" si="57"/>
        <v>0</v>
      </c>
      <c r="G781" s="32">
        <f t="shared" si="58"/>
        <v>8.3217753120665719E-2</v>
      </c>
      <c r="H781" s="34">
        <f t="shared" si="55"/>
        <v>8.3217753120665719E-2</v>
      </c>
      <c r="I781" s="42"/>
      <c r="J781" s="38"/>
      <c r="K781" s="38"/>
      <c r="L781" s="1"/>
      <c r="M781" s="1"/>
      <c r="N781" s="1"/>
      <c r="O781" s="39"/>
      <c r="P781" s="39"/>
      <c r="Q781" s="39"/>
      <c r="R781" s="39"/>
      <c r="S781" s="41"/>
      <c r="T781" s="41"/>
      <c r="U781" s="39"/>
      <c r="V781" s="39"/>
      <c r="W781" s="39"/>
      <c r="X781" s="39"/>
      <c r="Y781" s="39"/>
      <c r="Z781" s="39"/>
      <c r="AA781" s="39"/>
      <c r="AB781" s="39"/>
      <c r="AC781" s="39"/>
      <c r="AD781" s="40"/>
      <c r="AE781" s="40"/>
    </row>
    <row r="782" spans="1:31" x14ac:dyDescent="0.25">
      <c r="A782" s="2"/>
      <c r="B782" s="1"/>
      <c r="C782" s="22">
        <v>722</v>
      </c>
      <c r="D782" s="34">
        <f t="shared" si="59"/>
        <v>7.22</v>
      </c>
      <c r="E782" s="30">
        <f t="shared" si="56"/>
        <v>0</v>
      </c>
      <c r="F782" s="31">
        <f t="shared" si="57"/>
        <v>0</v>
      </c>
      <c r="G782" s="32">
        <f t="shared" si="58"/>
        <v>8.3102493074792227E-2</v>
      </c>
      <c r="H782" s="34">
        <f t="shared" si="55"/>
        <v>8.3102493074792227E-2</v>
      </c>
      <c r="I782" s="42"/>
      <c r="J782" s="38"/>
      <c r="K782" s="38"/>
      <c r="L782" s="1"/>
      <c r="M782" s="1"/>
      <c r="N782" s="1"/>
      <c r="O782" s="39"/>
      <c r="P782" s="39"/>
      <c r="Q782" s="39"/>
      <c r="R782" s="39"/>
      <c r="S782" s="41"/>
      <c r="T782" s="41"/>
      <c r="U782" s="39"/>
      <c r="V782" s="39"/>
      <c r="W782" s="39"/>
      <c r="X782" s="39"/>
      <c r="Y782" s="39"/>
      <c r="Z782" s="39"/>
      <c r="AA782" s="39"/>
      <c r="AB782" s="39"/>
      <c r="AC782" s="39"/>
      <c r="AD782" s="40"/>
      <c r="AE782" s="40"/>
    </row>
    <row r="783" spans="1:31" x14ac:dyDescent="0.25">
      <c r="A783" s="2"/>
      <c r="B783" s="1"/>
      <c r="C783" s="22">
        <v>723</v>
      </c>
      <c r="D783" s="34">
        <f t="shared" si="59"/>
        <v>7.23</v>
      </c>
      <c r="E783" s="30">
        <f t="shared" si="56"/>
        <v>0</v>
      </c>
      <c r="F783" s="31">
        <f t="shared" si="57"/>
        <v>0</v>
      </c>
      <c r="G783" s="32">
        <f t="shared" si="58"/>
        <v>8.29875518672199E-2</v>
      </c>
      <c r="H783" s="34">
        <f t="shared" si="55"/>
        <v>8.29875518672199E-2</v>
      </c>
      <c r="I783" s="42"/>
      <c r="J783" s="38"/>
      <c r="K783" s="38"/>
      <c r="L783" s="1"/>
      <c r="M783" s="1"/>
      <c r="N783" s="1"/>
      <c r="O783" s="39"/>
      <c r="P783" s="39"/>
      <c r="Q783" s="39"/>
      <c r="R783" s="39"/>
      <c r="S783" s="41"/>
      <c r="T783" s="41"/>
      <c r="U783" s="39"/>
      <c r="V783" s="39"/>
      <c r="W783" s="39"/>
      <c r="X783" s="39"/>
      <c r="Y783" s="39"/>
      <c r="Z783" s="39"/>
      <c r="AA783" s="39"/>
      <c r="AB783" s="39"/>
      <c r="AC783" s="39"/>
      <c r="AD783" s="40"/>
      <c r="AE783" s="40"/>
    </row>
    <row r="784" spans="1:31" x14ac:dyDescent="0.25">
      <c r="A784" s="2"/>
      <c r="B784" s="1"/>
      <c r="C784" s="22">
        <v>724</v>
      </c>
      <c r="D784" s="34">
        <f t="shared" si="59"/>
        <v>7.24</v>
      </c>
      <c r="E784" s="30">
        <f t="shared" si="56"/>
        <v>0</v>
      </c>
      <c r="F784" s="31">
        <f t="shared" si="57"/>
        <v>0</v>
      </c>
      <c r="G784" s="32">
        <f t="shared" si="58"/>
        <v>8.2872928176795563E-2</v>
      </c>
      <c r="H784" s="34">
        <f t="shared" si="55"/>
        <v>8.2872928176795563E-2</v>
      </c>
      <c r="I784" s="42"/>
      <c r="J784" s="38"/>
      <c r="K784" s="38"/>
      <c r="L784" s="1"/>
      <c r="M784" s="1"/>
      <c r="N784" s="1"/>
      <c r="O784" s="39"/>
      <c r="P784" s="39"/>
      <c r="Q784" s="39"/>
      <c r="R784" s="39"/>
      <c r="S784" s="41"/>
      <c r="T784" s="41"/>
      <c r="U784" s="39"/>
      <c r="V784" s="39"/>
      <c r="W784" s="39"/>
      <c r="X784" s="39"/>
      <c r="Y784" s="39"/>
      <c r="Z784" s="39"/>
      <c r="AA784" s="39"/>
      <c r="AB784" s="39"/>
      <c r="AC784" s="39"/>
      <c r="AD784" s="40"/>
      <c r="AE784" s="40"/>
    </row>
    <row r="785" spans="1:31" x14ac:dyDescent="0.25">
      <c r="A785" s="2"/>
      <c r="B785" s="1"/>
      <c r="C785" s="22">
        <v>725</v>
      </c>
      <c r="D785" s="34">
        <f t="shared" si="59"/>
        <v>7.25</v>
      </c>
      <c r="E785" s="30">
        <f t="shared" si="56"/>
        <v>0</v>
      </c>
      <c r="F785" s="31">
        <f t="shared" si="57"/>
        <v>0</v>
      </c>
      <c r="G785" s="32">
        <f t="shared" si="58"/>
        <v>8.2758620689655157E-2</v>
      </c>
      <c r="H785" s="34">
        <f t="shared" si="55"/>
        <v>8.2758620689655157E-2</v>
      </c>
      <c r="I785" s="42"/>
      <c r="J785" s="38"/>
      <c r="K785" s="38"/>
      <c r="L785" s="1"/>
      <c r="M785" s="1"/>
      <c r="N785" s="1"/>
      <c r="O785" s="39"/>
      <c r="P785" s="39"/>
      <c r="Q785" s="39"/>
      <c r="R785" s="39"/>
      <c r="S785" s="41"/>
      <c r="T785" s="41"/>
      <c r="U785" s="39"/>
      <c r="V785" s="39"/>
      <c r="W785" s="39"/>
      <c r="X785" s="39"/>
      <c r="Y785" s="39"/>
      <c r="Z785" s="39"/>
      <c r="AA785" s="39"/>
      <c r="AB785" s="39"/>
      <c r="AC785" s="39"/>
      <c r="AD785" s="40"/>
      <c r="AE785" s="40"/>
    </row>
    <row r="786" spans="1:31" x14ac:dyDescent="0.25">
      <c r="A786" s="2"/>
      <c r="B786" s="1"/>
      <c r="C786" s="22">
        <v>726</v>
      </c>
      <c r="D786" s="34">
        <f t="shared" si="59"/>
        <v>7.26</v>
      </c>
      <c r="E786" s="30">
        <f t="shared" si="56"/>
        <v>0</v>
      </c>
      <c r="F786" s="31">
        <f t="shared" si="57"/>
        <v>0</v>
      </c>
      <c r="G786" s="32">
        <f t="shared" si="58"/>
        <v>8.2644628099173542E-2</v>
      </c>
      <c r="H786" s="34">
        <f t="shared" si="55"/>
        <v>8.2644628099173542E-2</v>
      </c>
      <c r="I786" s="42"/>
      <c r="J786" s="38"/>
      <c r="K786" s="38"/>
      <c r="L786" s="1"/>
      <c r="M786" s="1"/>
      <c r="N786" s="1"/>
      <c r="O786" s="39"/>
      <c r="P786" s="39"/>
      <c r="Q786" s="39"/>
      <c r="R786" s="39"/>
      <c r="S786" s="41"/>
      <c r="T786" s="41"/>
      <c r="U786" s="39"/>
      <c r="V786" s="39"/>
      <c r="W786" s="39"/>
      <c r="X786" s="39"/>
      <c r="Y786" s="39"/>
      <c r="Z786" s="39"/>
      <c r="AA786" s="39"/>
      <c r="AB786" s="39"/>
      <c r="AC786" s="39"/>
      <c r="AD786" s="40"/>
      <c r="AE786" s="40"/>
    </row>
    <row r="787" spans="1:31" x14ac:dyDescent="0.25">
      <c r="A787" s="2"/>
      <c r="B787" s="1"/>
      <c r="C787" s="22">
        <v>727</v>
      </c>
      <c r="D787" s="34">
        <f t="shared" si="59"/>
        <v>7.2700000000000005</v>
      </c>
      <c r="E787" s="30">
        <f t="shared" si="56"/>
        <v>0</v>
      </c>
      <c r="F787" s="31">
        <f t="shared" si="57"/>
        <v>0</v>
      </c>
      <c r="G787" s="32">
        <f t="shared" si="58"/>
        <v>8.25309491059147E-2</v>
      </c>
      <c r="H787" s="34">
        <f t="shared" si="55"/>
        <v>8.25309491059147E-2</v>
      </c>
      <c r="I787" s="42"/>
      <c r="J787" s="38"/>
      <c r="K787" s="38"/>
      <c r="L787" s="1"/>
      <c r="M787" s="1"/>
      <c r="N787" s="1"/>
      <c r="O787" s="39"/>
      <c r="P787" s="39"/>
      <c r="Q787" s="39"/>
      <c r="R787" s="39"/>
      <c r="S787" s="41"/>
      <c r="T787" s="41"/>
      <c r="U787" s="39"/>
      <c r="V787" s="39"/>
      <c r="W787" s="39"/>
      <c r="X787" s="39"/>
      <c r="Y787" s="39"/>
      <c r="Z787" s="39"/>
      <c r="AA787" s="39"/>
      <c r="AB787" s="39"/>
      <c r="AC787" s="39"/>
      <c r="AD787" s="40"/>
      <c r="AE787" s="40"/>
    </row>
    <row r="788" spans="1:31" x14ac:dyDescent="0.25">
      <c r="A788" s="2"/>
      <c r="B788" s="1"/>
      <c r="C788" s="22">
        <v>728</v>
      </c>
      <c r="D788" s="34">
        <f t="shared" si="59"/>
        <v>7.28</v>
      </c>
      <c r="E788" s="30">
        <f t="shared" si="56"/>
        <v>0</v>
      </c>
      <c r="F788" s="31">
        <f t="shared" si="57"/>
        <v>0</v>
      </c>
      <c r="G788" s="32">
        <f t="shared" si="58"/>
        <v>8.2417582417582402E-2</v>
      </c>
      <c r="H788" s="34">
        <f t="shared" si="55"/>
        <v>8.2417582417582402E-2</v>
      </c>
      <c r="I788" s="42"/>
      <c r="J788" s="38"/>
      <c r="K788" s="38"/>
      <c r="L788" s="1"/>
      <c r="M788" s="1"/>
      <c r="N788" s="1"/>
      <c r="O788" s="39"/>
      <c r="P788" s="39"/>
      <c r="Q788" s="39"/>
      <c r="R788" s="39"/>
      <c r="S788" s="41"/>
      <c r="T788" s="41"/>
      <c r="U788" s="39"/>
      <c r="V788" s="39"/>
      <c r="W788" s="39"/>
      <c r="X788" s="39"/>
      <c r="Y788" s="39"/>
      <c r="Z788" s="39"/>
      <c r="AA788" s="39"/>
      <c r="AB788" s="39"/>
      <c r="AC788" s="39"/>
      <c r="AD788" s="40"/>
      <c r="AE788" s="40"/>
    </row>
    <row r="789" spans="1:31" x14ac:dyDescent="0.25">
      <c r="A789" s="2"/>
      <c r="B789" s="1"/>
      <c r="C789" s="22">
        <v>729</v>
      </c>
      <c r="D789" s="34">
        <f t="shared" si="59"/>
        <v>7.29</v>
      </c>
      <c r="E789" s="30">
        <f t="shared" si="56"/>
        <v>0</v>
      </c>
      <c r="F789" s="31">
        <f t="shared" si="57"/>
        <v>0</v>
      </c>
      <c r="G789" s="32">
        <f t="shared" si="58"/>
        <v>8.230452674897118E-2</v>
      </c>
      <c r="H789" s="34">
        <f t="shared" si="55"/>
        <v>8.230452674897118E-2</v>
      </c>
      <c r="I789" s="42"/>
      <c r="J789" s="38"/>
      <c r="K789" s="38"/>
      <c r="L789" s="1"/>
      <c r="M789" s="1"/>
      <c r="N789" s="1"/>
      <c r="O789" s="39"/>
      <c r="P789" s="39"/>
      <c r="Q789" s="39"/>
      <c r="R789" s="39"/>
      <c r="S789" s="41"/>
      <c r="T789" s="41"/>
      <c r="U789" s="39"/>
      <c r="V789" s="39"/>
      <c r="W789" s="39"/>
      <c r="X789" s="39"/>
      <c r="Y789" s="39"/>
      <c r="Z789" s="39"/>
      <c r="AA789" s="39"/>
      <c r="AB789" s="39"/>
      <c r="AC789" s="39"/>
      <c r="AD789" s="40"/>
      <c r="AE789" s="40"/>
    </row>
    <row r="790" spans="1:31" x14ac:dyDescent="0.25">
      <c r="A790" s="2"/>
      <c r="B790" s="1"/>
      <c r="C790" s="22">
        <v>730</v>
      </c>
      <c r="D790" s="34">
        <f t="shared" si="59"/>
        <v>7.3</v>
      </c>
      <c r="E790" s="30">
        <f t="shared" si="56"/>
        <v>0</v>
      </c>
      <c r="F790" s="31">
        <f t="shared" si="57"/>
        <v>0</v>
      </c>
      <c r="G790" s="32">
        <f t="shared" si="58"/>
        <v>8.219178082191779E-2</v>
      </c>
      <c r="H790" s="34">
        <f t="shared" si="55"/>
        <v>8.219178082191779E-2</v>
      </c>
      <c r="I790" s="42"/>
      <c r="J790" s="38"/>
      <c r="K790" s="38"/>
      <c r="L790" s="1"/>
      <c r="M790" s="1"/>
      <c r="N790" s="1"/>
      <c r="O790" s="39"/>
      <c r="P790" s="39"/>
      <c r="Q790" s="39"/>
      <c r="R790" s="39"/>
      <c r="S790" s="41"/>
      <c r="T790" s="41"/>
      <c r="U790" s="39"/>
      <c r="V790" s="39"/>
      <c r="W790" s="39"/>
      <c r="X790" s="39"/>
      <c r="Y790" s="39"/>
      <c r="Z790" s="39"/>
      <c r="AA790" s="39"/>
      <c r="AB790" s="39"/>
      <c r="AC790" s="39"/>
      <c r="AD790" s="40"/>
      <c r="AE790" s="40"/>
    </row>
    <row r="791" spans="1:31" x14ac:dyDescent="0.25">
      <c r="A791" s="2"/>
      <c r="B791" s="1"/>
      <c r="C791" s="22">
        <v>731</v>
      </c>
      <c r="D791" s="34">
        <f t="shared" si="59"/>
        <v>7.3100000000000005</v>
      </c>
      <c r="E791" s="30">
        <f t="shared" si="56"/>
        <v>0</v>
      </c>
      <c r="F791" s="31">
        <f t="shared" si="57"/>
        <v>0</v>
      </c>
      <c r="G791" s="32">
        <f t="shared" si="58"/>
        <v>8.2079343365253049E-2</v>
      </c>
      <c r="H791" s="34">
        <f t="shared" si="55"/>
        <v>8.2079343365253049E-2</v>
      </c>
      <c r="I791" s="42"/>
      <c r="J791" s="38"/>
      <c r="K791" s="38"/>
      <c r="L791" s="1"/>
      <c r="M791" s="1"/>
      <c r="N791" s="1"/>
      <c r="O791" s="39"/>
      <c r="P791" s="39"/>
      <c r="Q791" s="39"/>
      <c r="R791" s="39"/>
      <c r="S791" s="41"/>
      <c r="T791" s="41"/>
      <c r="U791" s="39"/>
      <c r="V791" s="39"/>
      <c r="W791" s="39"/>
      <c r="X791" s="39"/>
      <c r="Y791" s="39"/>
      <c r="Z791" s="39"/>
      <c r="AA791" s="39"/>
      <c r="AB791" s="39"/>
      <c r="AC791" s="39"/>
      <c r="AD791" s="40"/>
      <c r="AE791" s="40"/>
    </row>
    <row r="792" spans="1:31" x14ac:dyDescent="0.25">
      <c r="A792" s="2"/>
      <c r="B792" s="1"/>
      <c r="C792" s="22">
        <v>732</v>
      </c>
      <c r="D792" s="34">
        <f t="shared" si="59"/>
        <v>7.32</v>
      </c>
      <c r="E792" s="30">
        <f t="shared" si="56"/>
        <v>0</v>
      </c>
      <c r="F792" s="31">
        <f t="shared" si="57"/>
        <v>0</v>
      </c>
      <c r="G792" s="32">
        <f t="shared" si="58"/>
        <v>8.1967213114754078E-2</v>
      </c>
      <c r="H792" s="34">
        <f t="shared" si="55"/>
        <v>8.1967213114754078E-2</v>
      </c>
      <c r="I792" s="42"/>
      <c r="J792" s="38"/>
      <c r="K792" s="38"/>
      <c r="L792" s="1"/>
      <c r="M792" s="1"/>
      <c r="N792" s="1"/>
      <c r="O792" s="39"/>
      <c r="P792" s="39"/>
      <c r="Q792" s="39"/>
      <c r="R792" s="39"/>
      <c r="S792" s="41"/>
      <c r="T792" s="41"/>
      <c r="U792" s="39"/>
      <c r="V792" s="39"/>
      <c r="W792" s="39"/>
      <c r="X792" s="39"/>
      <c r="Y792" s="39"/>
      <c r="Z792" s="39"/>
      <c r="AA792" s="39"/>
      <c r="AB792" s="39"/>
      <c r="AC792" s="39"/>
      <c r="AD792" s="40"/>
      <c r="AE792" s="40"/>
    </row>
    <row r="793" spans="1:31" x14ac:dyDescent="0.25">
      <c r="A793" s="2"/>
      <c r="B793" s="1"/>
      <c r="C793" s="22">
        <v>733</v>
      </c>
      <c r="D793" s="34">
        <f t="shared" si="59"/>
        <v>7.33</v>
      </c>
      <c r="E793" s="30">
        <f t="shared" si="56"/>
        <v>0</v>
      </c>
      <c r="F793" s="31">
        <f t="shared" si="57"/>
        <v>0</v>
      </c>
      <c r="G793" s="32">
        <f t="shared" si="58"/>
        <v>8.1855388813096841E-2</v>
      </c>
      <c r="H793" s="34">
        <f t="shared" si="55"/>
        <v>8.1855388813096841E-2</v>
      </c>
      <c r="I793" s="42"/>
      <c r="J793" s="38"/>
      <c r="K793" s="38"/>
      <c r="L793" s="1"/>
      <c r="M793" s="1"/>
      <c r="N793" s="1"/>
      <c r="O793" s="39"/>
      <c r="P793" s="39"/>
      <c r="Q793" s="39"/>
      <c r="R793" s="39"/>
      <c r="S793" s="41"/>
      <c r="T793" s="41"/>
      <c r="U793" s="39"/>
      <c r="V793" s="39"/>
      <c r="W793" s="39"/>
      <c r="X793" s="39"/>
      <c r="Y793" s="39"/>
      <c r="Z793" s="39"/>
      <c r="AA793" s="39"/>
      <c r="AB793" s="39"/>
      <c r="AC793" s="39"/>
      <c r="AD793" s="40"/>
      <c r="AE793" s="40"/>
    </row>
    <row r="794" spans="1:31" x14ac:dyDescent="0.25">
      <c r="A794" s="2"/>
      <c r="B794" s="1"/>
      <c r="C794" s="22">
        <v>734</v>
      </c>
      <c r="D794" s="34">
        <f t="shared" si="59"/>
        <v>7.34</v>
      </c>
      <c r="E794" s="30">
        <f t="shared" si="56"/>
        <v>0</v>
      </c>
      <c r="F794" s="31">
        <f t="shared" si="57"/>
        <v>0</v>
      </c>
      <c r="G794" s="32">
        <f t="shared" si="58"/>
        <v>8.174386920980925E-2</v>
      </c>
      <c r="H794" s="34">
        <f t="shared" si="55"/>
        <v>8.174386920980925E-2</v>
      </c>
      <c r="I794" s="42"/>
      <c r="J794" s="38"/>
      <c r="K794" s="38"/>
      <c r="L794" s="1"/>
      <c r="M794" s="1"/>
      <c r="N794" s="1"/>
      <c r="O794" s="39"/>
      <c r="P794" s="39"/>
      <c r="Q794" s="39"/>
      <c r="R794" s="39"/>
      <c r="S794" s="41"/>
      <c r="T794" s="41"/>
      <c r="U794" s="39"/>
      <c r="V794" s="39"/>
      <c r="W794" s="39"/>
      <c r="X794" s="39"/>
      <c r="Y794" s="39"/>
      <c r="Z794" s="39"/>
      <c r="AA794" s="39"/>
      <c r="AB794" s="39"/>
      <c r="AC794" s="39"/>
      <c r="AD794" s="40"/>
      <c r="AE794" s="40"/>
    </row>
    <row r="795" spans="1:31" x14ac:dyDescent="0.25">
      <c r="A795" s="2"/>
      <c r="B795" s="1"/>
      <c r="C795" s="22">
        <v>735</v>
      </c>
      <c r="D795" s="34">
        <f t="shared" si="59"/>
        <v>7.3500000000000005</v>
      </c>
      <c r="E795" s="30">
        <f t="shared" si="56"/>
        <v>0</v>
      </c>
      <c r="F795" s="31">
        <f t="shared" si="57"/>
        <v>0</v>
      </c>
      <c r="G795" s="32">
        <f t="shared" si="58"/>
        <v>8.1632653061224469E-2</v>
      </c>
      <c r="H795" s="34">
        <f t="shared" si="55"/>
        <v>8.1632653061224469E-2</v>
      </c>
      <c r="I795" s="42"/>
      <c r="J795" s="38"/>
      <c r="K795" s="38"/>
      <c r="L795" s="1"/>
      <c r="M795" s="1"/>
      <c r="N795" s="1"/>
      <c r="O795" s="39"/>
      <c r="P795" s="39"/>
      <c r="Q795" s="39"/>
      <c r="R795" s="39"/>
      <c r="S795" s="41"/>
      <c r="T795" s="41"/>
      <c r="U795" s="39"/>
      <c r="V795" s="39"/>
      <c r="W795" s="39"/>
      <c r="X795" s="39"/>
      <c r="Y795" s="39"/>
      <c r="Z795" s="39"/>
      <c r="AA795" s="39"/>
      <c r="AB795" s="39"/>
      <c r="AC795" s="39"/>
      <c r="AD795" s="40"/>
      <c r="AE795" s="40"/>
    </row>
    <row r="796" spans="1:31" x14ac:dyDescent="0.25">
      <c r="A796" s="2"/>
      <c r="B796" s="1"/>
      <c r="C796" s="22">
        <v>736</v>
      </c>
      <c r="D796" s="34">
        <f t="shared" si="59"/>
        <v>7.36</v>
      </c>
      <c r="E796" s="30">
        <f t="shared" si="56"/>
        <v>0</v>
      </c>
      <c r="F796" s="31">
        <f t="shared" si="57"/>
        <v>0</v>
      </c>
      <c r="G796" s="32">
        <f t="shared" si="58"/>
        <v>8.1521739130434756E-2</v>
      </c>
      <c r="H796" s="34">
        <f t="shared" si="55"/>
        <v>8.1521739130434756E-2</v>
      </c>
      <c r="I796" s="42"/>
      <c r="J796" s="38"/>
      <c r="K796" s="38"/>
      <c r="L796" s="1"/>
      <c r="M796" s="1"/>
      <c r="N796" s="1"/>
      <c r="O796" s="39"/>
      <c r="P796" s="39"/>
      <c r="Q796" s="39"/>
      <c r="R796" s="39"/>
      <c r="S796" s="41"/>
      <c r="T796" s="41"/>
      <c r="U796" s="39"/>
      <c r="V796" s="39"/>
      <c r="W796" s="39"/>
      <c r="X796" s="39"/>
      <c r="Y796" s="39"/>
      <c r="Z796" s="39"/>
      <c r="AA796" s="39"/>
      <c r="AB796" s="39"/>
      <c r="AC796" s="39"/>
      <c r="AD796" s="40"/>
      <c r="AE796" s="40"/>
    </row>
    <row r="797" spans="1:31" x14ac:dyDescent="0.25">
      <c r="A797" s="2"/>
      <c r="B797" s="1"/>
      <c r="C797" s="22">
        <v>737</v>
      </c>
      <c r="D797" s="34">
        <f t="shared" si="59"/>
        <v>7.37</v>
      </c>
      <c r="E797" s="30">
        <f t="shared" si="56"/>
        <v>0</v>
      </c>
      <c r="F797" s="31">
        <f t="shared" si="57"/>
        <v>0</v>
      </c>
      <c r="G797" s="32">
        <f t="shared" si="58"/>
        <v>8.1411126187245567E-2</v>
      </c>
      <c r="H797" s="34">
        <f t="shared" si="55"/>
        <v>8.1411126187245567E-2</v>
      </c>
      <c r="I797" s="42"/>
      <c r="J797" s="38"/>
      <c r="K797" s="38"/>
      <c r="L797" s="1"/>
      <c r="M797" s="1"/>
      <c r="N797" s="1"/>
      <c r="O797" s="39"/>
      <c r="P797" s="39"/>
      <c r="Q797" s="39"/>
      <c r="R797" s="39"/>
      <c r="S797" s="41"/>
      <c r="T797" s="41"/>
      <c r="U797" s="39"/>
      <c r="V797" s="39"/>
      <c r="W797" s="39"/>
      <c r="X797" s="39"/>
      <c r="Y797" s="39"/>
      <c r="Z797" s="39"/>
      <c r="AA797" s="39"/>
      <c r="AB797" s="39"/>
      <c r="AC797" s="39"/>
      <c r="AD797" s="40"/>
      <c r="AE797" s="40"/>
    </row>
    <row r="798" spans="1:31" x14ac:dyDescent="0.25">
      <c r="A798" s="2"/>
      <c r="B798" s="1"/>
      <c r="C798" s="22">
        <v>738</v>
      </c>
      <c r="D798" s="34">
        <f t="shared" si="59"/>
        <v>7.38</v>
      </c>
      <c r="E798" s="30">
        <f t="shared" si="56"/>
        <v>0</v>
      </c>
      <c r="F798" s="31">
        <f t="shared" si="57"/>
        <v>0</v>
      </c>
      <c r="G798" s="32">
        <f t="shared" si="58"/>
        <v>8.1300813008130066E-2</v>
      </c>
      <c r="H798" s="34">
        <f t="shared" si="55"/>
        <v>8.1300813008130066E-2</v>
      </c>
      <c r="I798" s="42"/>
      <c r="J798" s="38"/>
      <c r="K798" s="38"/>
      <c r="L798" s="1"/>
      <c r="M798" s="1"/>
      <c r="N798" s="1"/>
      <c r="O798" s="39"/>
      <c r="P798" s="39"/>
      <c r="Q798" s="39"/>
      <c r="R798" s="39"/>
      <c r="S798" s="41"/>
      <c r="T798" s="41"/>
      <c r="U798" s="39"/>
      <c r="V798" s="39"/>
      <c r="W798" s="39"/>
      <c r="X798" s="39"/>
      <c r="Y798" s="39"/>
      <c r="Z798" s="39"/>
      <c r="AA798" s="39"/>
      <c r="AB798" s="39"/>
      <c r="AC798" s="39"/>
      <c r="AD798" s="40"/>
      <c r="AE798" s="40"/>
    </row>
    <row r="799" spans="1:31" x14ac:dyDescent="0.25">
      <c r="A799" s="2"/>
      <c r="B799" s="1"/>
      <c r="C799" s="22">
        <v>739</v>
      </c>
      <c r="D799" s="34">
        <f t="shared" si="59"/>
        <v>7.3900000000000006</v>
      </c>
      <c r="E799" s="30">
        <f t="shared" si="56"/>
        <v>0</v>
      </c>
      <c r="F799" s="31">
        <f t="shared" si="57"/>
        <v>0</v>
      </c>
      <c r="G799" s="32">
        <f t="shared" si="58"/>
        <v>8.1190798376184009E-2</v>
      </c>
      <c r="H799" s="34">
        <f t="shared" si="55"/>
        <v>8.1190798376184009E-2</v>
      </c>
      <c r="I799" s="42"/>
      <c r="J799" s="38"/>
      <c r="K799" s="38"/>
      <c r="L799" s="1"/>
      <c r="M799" s="1"/>
      <c r="N799" s="1"/>
      <c r="O799" s="39"/>
      <c r="P799" s="39"/>
      <c r="Q799" s="39"/>
      <c r="R799" s="39"/>
      <c r="S799" s="41"/>
      <c r="T799" s="41"/>
      <c r="U799" s="39"/>
      <c r="V799" s="39"/>
      <c r="W799" s="39"/>
      <c r="X799" s="39"/>
      <c r="Y799" s="39"/>
      <c r="Z799" s="39"/>
      <c r="AA799" s="39"/>
      <c r="AB799" s="39"/>
      <c r="AC799" s="39"/>
      <c r="AD799" s="40"/>
      <c r="AE799" s="40"/>
    </row>
    <row r="800" spans="1:31" x14ac:dyDescent="0.25">
      <c r="A800" s="2"/>
      <c r="B800" s="1"/>
      <c r="C800" s="22">
        <v>740</v>
      </c>
      <c r="D800" s="34">
        <f t="shared" si="59"/>
        <v>7.4</v>
      </c>
      <c r="E800" s="30">
        <f t="shared" si="56"/>
        <v>0</v>
      </c>
      <c r="F800" s="31">
        <f t="shared" si="57"/>
        <v>0</v>
      </c>
      <c r="G800" s="32">
        <f t="shared" si="58"/>
        <v>8.1081081081081058E-2</v>
      </c>
      <c r="H800" s="34">
        <f t="shared" si="55"/>
        <v>8.1081081081081058E-2</v>
      </c>
      <c r="I800" s="42"/>
      <c r="J800" s="38"/>
      <c r="K800" s="38"/>
      <c r="L800" s="1"/>
      <c r="M800" s="1"/>
      <c r="N800" s="1"/>
      <c r="O800" s="39"/>
      <c r="P800" s="39"/>
      <c r="Q800" s="39"/>
      <c r="R800" s="39"/>
      <c r="S800" s="41"/>
      <c r="T800" s="41"/>
      <c r="U800" s="39"/>
      <c r="V800" s="39"/>
      <c r="W800" s="39"/>
      <c r="X800" s="39"/>
      <c r="Y800" s="39"/>
      <c r="Z800" s="39"/>
      <c r="AA800" s="39"/>
      <c r="AB800" s="39"/>
      <c r="AC800" s="39"/>
      <c r="AD800" s="40"/>
      <c r="AE800" s="40"/>
    </row>
    <row r="801" spans="1:31" x14ac:dyDescent="0.25">
      <c r="A801" s="2"/>
      <c r="B801" s="1"/>
      <c r="C801" s="22">
        <v>741</v>
      </c>
      <c r="D801" s="34">
        <f t="shared" si="59"/>
        <v>7.41</v>
      </c>
      <c r="E801" s="30">
        <f t="shared" si="56"/>
        <v>0</v>
      </c>
      <c r="F801" s="31">
        <f t="shared" si="57"/>
        <v>0</v>
      </c>
      <c r="G801" s="32">
        <f t="shared" si="58"/>
        <v>8.0971659919028327E-2</v>
      </c>
      <c r="H801" s="34">
        <f t="shared" ref="H801:H860" si="60">SUM(E801:G801)</f>
        <v>8.0971659919028327E-2</v>
      </c>
      <c r="I801" s="42"/>
      <c r="J801" s="38"/>
      <c r="K801" s="38"/>
      <c r="L801" s="1"/>
      <c r="M801" s="1"/>
      <c r="N801" s="1"/>
      <c r="O801" s="39"/>
      <c r="P801" s="39"/>
      <c r="Q801" s="39"/>
      <c r="R801" s="39"/>
      <c r="S801" s="41"/>
      <c r="T801" s="41"/>
      <c r="U801" s="39"/>
      <c r="V801" s="39"/>
      <c r="W801" s="39"/>
      <c r="X801" s="39"/>
      <c r="Y801" s="39"/>
      <c r="Z801" s="39"/>
      <c r="AA801" s="39"/>
      <c r="AB801" s="39"/>
      <c r="AC801" s="39"/>
      <c r="AD801" s="40"/>
      <c r="AE801" s="40"/>
    </row>
    <row r="802" spans="1:31" x14ac:dyDescent="0.25">
      <c r="A802" s="2"/>
      <c r="B802" s="1"/>
      <c r="C802" s="22">
        <v>742</v>
      </c>
      <c r="D802" s="34">
        <f t="shared" si="59"/>
        <v>7.42</v>
      </c>
      <c r="E802" s="30">
        <f t="shared" si="56"/>
        <v>0</v>
      </c>
      <c r="F802" s="31">
        <f t="shared" si="57"/>
        <v>0</v>
      </c>
      <c r="G802" s="32">
        <f t="shared" si="58"/>
        <v>8.0862533692722352E-2</v>
      </c>
      <c r="H802" s="34">
        <f t="shared" si="60"/>
        <v>8.0862533692722352E-2</v>
      </c>
      <c r="I802" s="42"/>
      <c r="J802" s="38"/>
      <c r="K802" s="38"/>
      <c r="L802" s="1"/>
      <c r="M802" s="1"/>
      <c r="N802" s="1"/>
      <c r="O802" s="39"/>
      <c r="P802" s="39"/>
      <c r="Q802" s="39"/>
      <c r="R802" s="39"/>
      <c r="S802" s="41"/>
      <c r="T802" s="41"/>
      <c r="U802" s="39"/>
      <c r="V802" s="39"/>
      <c r="W802" s="39"/>
      <c r="X802" s="39"/>
      <c r="Y802" s="39"/>
      <c r="Z802" s="39"/>
      <c r="AA802" s="39"/>
      <c r="AB802" s="39"/>
      <c r="AC802" s="39"/>
      <c r="AD802" s="40"/>
      <c r="AE802" s="40"/>
    </row>
    <row r="803" spans="1:31" x14ac:dyDescent="0.25">
      <c r="A803" s="2"/>
      <c r="B803" s="1"/>
      <c r="C803" s="22">
        <v>743</v>
      </c>
      <c r="D803" s="34">
        <f t="shared" si="59"/>
        <v>7.43</v>
      </c>
      <c r="E803" s="30">
        <f t="shared" si="56"/>
        <v>0</v>
      </c>
      <c r="F803" s="31">
        <f t="shared" si="57"/>
        <v>0</v>
      </c>
      <c r="G803" s="32">
        <f t="shared" si="58"/>
        <v>8.0753701211305498E-2</v>
      </c>
      <c r="H803" s="34">
        <f t="shared" si="60"/>
        <v>8.0753701211305498E-2</v>
      </c>
      <c r="I803" s="42"/>
      <c r="J803" s="38"/>
      <c r="K803" s="38"/>
      <c r="L803" s="1"/>
      <c r="M803" s="1"/>
      <c r="N803" s="1"/>
      <c r="O803" s="39"/>
      <c r="P803" s="39"/>
      <c r="Q803" s="39"/>
      <c r="R803" s="39"/>
      <c r="S803" s="41"/>
      <c r="T803" s="41"/>
      <c r="U803" s="39"/>
      <c r="V803" s="39"/>
      <c r="W803" s="39"/>
      <c r="X803" s="39"/>
      <c r="Y803" s="39"/>
      <c r="Z803" s="39"/>
      <c r="AA803" s="39"/>
      <c r="AB803" s="39"/>
      <c r="AC803" s="39"/>
      <c r="AD803" s="40"/>
      <c r="AE803" s="40"/>
    </row>
    <row r="804" spans="1:31" x14ac:dyDescent="0.25">
      <c r="A804" s="2"/>
      <c r="B804" s="1"/>
      <c r="C804" s="22">
        <v>744</v>
      </c>
      <c r="D804" s="34">
        <f t="shared" si="59"/>
        <v>7.44</v>
      </c>
      <c r="E804" s="30">
        <f t="shared" si="56"/>
        <v>0</v>
      </c>
      <c r="F804" s="31">
        <f t="shared" si="57"/>
        <v>0</v>
      </c>
      <c r="G804" s="32">
        <f t="shared" si="58"/>
        <v>8.0645161290322565E-2</v>
      </c>
      <c r="H804" s="34">
        <f t="shared" si="60"/>
        <v>8.0645161290322565E-2</v>
      </c>
      <c r="I804" s="42"/>
      <c r="J804" s="38"/>
      <c r="K804" s="38"/>
      <c r="L804" s="1"/>
      <c r="M804" s="1"/>
      <c r="N804" s="1"/>
      <c r="O804" s="39"/>
      <c r="P804" s="39"/>
      <c r="Q804" s="39"/>
      <c r="R804" s="39"/>
      <c r="S804" s="41"/>
      <c r="T804" s="41"/>
      <c r="U804" s="39"/>
      <c r="V804" s="39"/>
      <c r="W804" s="39"/>
      <c r="X804" s="39"/>
      <c r="Y804" s="39"/>
      <c r="Z804" s="39"/>
      <c r="AA804" s="39"/>
      <c r="AB804" s="39"/>
      <c r="AC804" s="39"/>
      <c r="AD804" s="40"/>
      <c r="AE804" s="40"/>
    </row>
    <row r="805" spans="1:31" x14ac:dyDescent="0.25">
      <c r="A805" s="2"/>
      <c r="B805" s="1"/>
      <c r="C805" s="22">
        <v>745</v>
      </c>
      <c r="D805" s="34">
        <f t="shared" si="59"/>
        <v>7.45</v>
      </c>
      <c r="E805" s="30">
        <f t="shared" si="56"/>
        <v>0</v>
      </c>
      <c r="F805" s="31">
        <f t="shared" si="57"/>
        <v>0</v>
      </c>
      <c r="G805" s="32">
        <f t="shared" si="58"/>
        <v>8.0536912751677833E-2</v>
      </c>
      <c r="H805" s="34">
        <f t="shared" si="60"/>
        <v>8.0536912751677833E-2</v>
      </c>
      <c r="I805" s="42"/>
      <c r="J805" s="38"/>
      <c r="K805" s="38"/>
      <c r="L805" s="1"/>
      <c r="M805" s="1"/>
      <c r="N805" s="1"/>
      <c r="O805" s="39"/>
      <c r="P805" s="39"/>
      <c r="Q805" s="39"/>
      <c r="R805" s="39"/>
      <c r="S805" s="41"/>
      <c r="T805" s="41"/>
      <c r="U805" s="39"/>
      <c r="V805" s="39"/>
      <c r="W805" s="39"/>
      <c r="X805" s="39"/>
      <c r="Y805" s="39"/>
      <c r="Z805" s="39"/>
      <c r="AA805" s="39"/>
      <c r="AB805" s="39"/>
      <c r="AC805" s="39"/>
      <c r="AD805" s="40"/>
      <c r="AE805" s="40"/>
    </row>
    <row r="806" spans="1:31" x14ac:dyDescent="0.25">
      <c r="A806" s="2"/>
      <c r="B806" s="1"/>
      <c r="C806" s="22">
        <v>746</v>
      </c>
      <c r="D806" s="34">
        <f t="shared" si="59"/>
        <v>7.46</v>
      </c>
      <c r="E806" s="30">
        <f t="shared" si="56"/>
        <v>0</v>
      </c>
      <c r="F806" s="31">
        <f t="shared" si="57"/>
        <v>0</v>
      </c>
      <c r="G806" s="32">
        <f t="shared" si="58"/>
        <v>8.0428954423592477E-2</v>
      </c>
      <c r="H806" s="34">
        <f t="shared" si="60"/>
        <v>8.0428954423592477E-2</v>
      </c>
      <c r="I806" s="42"/>
      <c r="J806" s="38"/>
      <c r="K806" s="38"/>
      <c r="L806" s="1"/>
      <c r="M806" s="1"/>
      <c r="N806" s="1"/>
      <c r="O806" s="39"/>
      <c r="P806" s="39"/>
      <c r="Q806" s="39"/>
      <c r="R806" s="39"/>
      <c r="S806" s="41"/>
      <c r="T806" s="41"/>
      <c r="U806" s="39"/>
      <c r="V806" s="39"/>
      <c r="W806" s="39"/>
      <c r="X806" s="39"/>
      <c r="Y806" s="39"/>
      <c r="Z806" s="39"/>
      <c r="AA806" s="39"/>
      <c r="AB806" s="39"/>
      <c r="AC806" s="39"/>
      <c r="AD806" s="40"/>
      <c r="AE806" s="40"/>
    </row>
    <row r="807" spans="1:31" x14ac:dyDescent="0.25">
      <c r="A807" s="2"/>
      <c r="B807" s="1"/>
      <c r="C807" s="22">
        <v>747</v>
      </c>
      <c r="D807" s="34">
        <f t="shared" si="59"/>
        <v>7.47</v>
      </c>
      <c r="E807" s="30">
        <f t="shared" si="56"/>
        <v>0</v>
      </c>
      <c r="F807" s="31">
        <f t="shared" si="57"/>
        <v>0</v>
      </c>
      <c r="G807" s="32">
        <f t="shared" si="58"/>
        <v>8.0321285140562235E-2</v>
      </c>
      <c r="H807" s="34">
        <f t="shared" si="60"/>
        <v>8.0321285140562235E-2</v>
      </c>
      <c r="I807" s="42"/>
      <c r="J807" s="38"/>
      <c r="K807" s="38"/>
      <c r="L807" s="1"/>
      <c r="M807" s="1"/>
      <c r="N807" s="1"/>
      <c r="O807" s="39"/>
      <c r="P807" s="39"/>
      <c r="Q807" s="39"/>
      <c r="R807" s="39"/>
      <c r="S807" s="41"/>
      <c r="T807" s="41"/>
      <c r="U807" s="39"/>
      <c r="V807" s="39"/>
      <c r="W807" s="39"/>
      <c r="X807" s="39"/>
      <c r="Y807" s="39"/>
      <c r="Z807" s="39"/>
      <c r="AA807" s="39"/>
      <c r="AB807" s="39"/>
      <c r="AC807" s="39"/>
      <c r="AD807" s="40"/>
      <c r="AE807" s="40"/>
    </row>
    <row r="808" spans="1:31" x14ac:dyDescent="0.25">
      <c r="A808" s="2"/>
      <c r="B808" s="1"/>
      <c r="C808" s="22">
        <v>748</v>
      </c>
      <c r="D808" s="34">
        <f t="shared" si="59"/>
        <v>7.48</v>
      </c>
      <c r="E808" s="30">
        <f t="shared" si="56"/>
        <v>0</v>
      </c>
      <c r="F808" s="31">
        <f t="shared" si="57"/>
        <v>0</v>
      </c>
      <c r="G808" s="32">
        <f t="shared" si="58"/>
        <v>8.0213903743315482E-2</v>
      </c>
      <c r="H808" s="34">
        <f t="shared" si="60"/>
        <v>8.0213903743315482E-2</v>
      </c>
      <c r="I808" s="42"/>
      <c r="J808" s="38"/>
      <c r="K808" s="38"/>
      <c r="L808" s="1"/>
      <c r="M808" s="1"/>
      <c r="N808" s="1"/>
      <c r="O808" s="39"/>
      <c r="P808" s="39"/>
      <c r="Q808" s="39"/>
      <c r="R808" s="39"/>
      <c r="S808" s="41"/>
      <c r="T808" s="41"/>
      <c r="U808" s="39"/>
      <c r="V808" s="39"/>
      <c r="W808" s="39"/>
      <c r="X808" s="39"/>
      <c r="Y808" s="39"/>
      <c r="Z808" s="39"/>
      <c r="AA808" s="39"/>
      <c r="AB808" s="39"/>
      <c r="AC808" s="39"/>
      <c r="AD808" s="40"/>
      <c r="AE808" s="40"/>
    </row>
    <row r="809" spans="1:31" x14ac:dyDescent="0.25">
      <c r="A809" s="2"/>
      <c r="B809" s="1"/>
      <c r="C809" s="22">
        <v>749</v>
      </c>
      <c r="D809" s="34">
        <f t="shared" si="59"/>
        <v>7.49</v>
      </c>
      <c r="E809" s="30">
        <f t="shared" si="56"/>
        <v>0</v>
      </c>
      <c r="F809" s="31">
        <f t="shared" si="57"/>
        <v>0</v>
      </c>
      <c r="G809" s="32">
        <f t="shared" si="58"/>
        <v>8.0106809078771671E-2</v>
      </c>
      <c r="H809" s="34">
        <f t="shared" si="60"/>
        <v>8.0106809078771671E-2</v>
      </c>
      <c r="I809" s="42"/>
      <c r="J809" s="38"/>
      <c r="K809" s="38"/>
      <c r="L809" s="1"/>
      <c r="M809" s="1"/>
      <c r="N809" s="1"/>
      <c r="O809" s="39"/>
      <c r="P809" s="39"/>
      <c r="Q809" s="39"/>
      <c r="R809" s="39"/>
      <c r="S809" s="41"/>
      <c r="T809" s="41"/>
      <c r="U809" s="39"/>
      <c r="V809" s="39"/>
      <c r="W809" s="39"/>
      <c r="X809" s="39"/>
      <c r="Y809" s="39"/>
      <c r="Z809" s="39"/>
      <c r="AA809" s="39"/>
      <c r="AB809" s="39"/>
      <c r="AC809" s="39"/>
      <c r="AD809" s="40"/>
      <c r="AE809" s="40"/>
    </row>
    <row r="810" spans="1:31" x14ac:dyDescent="0.25">
      <c r="A810" s="2"/>
      <c r="B810" s="1"/>
      <c r="C810" s="22">
        <v>750</v>
      </c>
      <c r="D810" s="34">
        <f t="shared" si="59"/>
        <v>7.5</v>
      </c>
      <c r="E810" s="30">
        <f t="shared" si="56"/>
        <v>0</v>
      </c>
      <c r="F810" s="31">
        <f t="shared" si="57"/>
        <v>0</v>
      </c>
      <c r="G810" s="32">
        <f t="shared" si="58"/>
        <v>7.9999999999999988E-2</v>
      </c>
      <c r="H810" s="34">
        <f t="shared" si="60"/>
        <v>7.9999999999999988E-2</v>
      </c>
      <c r="I810" s="42"/>
      <c r="J810" s="38"/>
      <c r="K810" s="38"/>
      <c r="L810" s="1"/>
      <c r="M810" s="1"/>
      <c r="N810" s="1"/>
      <c r="O810" s="39"/>
      <c r="P810" s="39"/>
      <c r="Q810" s="39"/>
      <c r="R810" s="39"/>
      <c r="S810" s="41"/>
      <c r="T810" s="41"/>
      <c r="U810" s="39"/>
      <c r="V810" s="39"/>
      <c r="W810" s="39"/>
      <c r="X810" s="39"/>
      <c r="Y810" s="39"/>
      <c r="Z810" s="39"/>
      <c r="AA810" s="39"/>
      <c r="AB810" s="39"/>
      <c r="AC810" s="39"/>
      <c r="AD810" s="40"/>
      <c r="AE810" s="40"/>
    </row>
    <row r="811" spans="1:31" x14ac:dyDescent="0.25">
      <c r="A811" s="2"/>
      <c r="B811" s="1"/>
      <c r="C811" s="22">
        <v>751</v>
      </c>
      <c r="D811" s="34">
        <f t="shared" si="59"/>
        <v>7.51</v>
      </c>
      <c r="E811" s="30">
        <f t="shared" si="56"/>
        <v>0</v>
      </c>
      <c r="F811" s="31">
        <f t="shared" si="57"/>
        <v>0</v>
      </c>
      <c r="G811" s="32">
        <f t="shared" si="58"/>
        <v>7.9893475366178413E-2</v>
      </c>
      <c r="H811" s="34">
        <f t="shared" si="60"/>
        <v>7.9893475366178413E-2</v>
      </c>
      <c r="I811" s="42"/>
      <c r="J811" s="38"/>
      <c r="K811" s="38"/>
      <c r="L811" s="1"/>
      <c r="M811" s="1"/>
      <c r="N811" s="1"/>
      <c r="O811" s="39"/>
      <c r="P811" s="39"/>
      <c r="Q811" s="39"/>
      <c r="R811" s="39"/>
      <c r="S811" s="41"/>
      <c r="T811" s="41"/>
      <c r="U811" s="39"/>
      <c r="V811" s="39"/>
      <c r="W811" s="39"/>
      <c r="X811" s="39"/>
      <c r="Y811" s="39"/>
      <c r="Z811" s="39"/>
      <c r="AA811" s="39"/>
      <c r="AB811" s="39"/>
      <c r="AC811" s="39"/>
      <c r="AD811" s="40"/>
      <c r="AE811" s="40"/>
    </row>
    <row r="812" spans="1:31" x14ac:dyDescent="0.25">
      <c r="A812" s="2"/>
      <c r="B812" s="1"/>
      <c r="C812" s="22">
        <v>752</v>
      </c>
      <c r="D812" s="34">
        <f t="shared" si="59"/>
        <v>7.5200000000000005</v>
      </c>
      <c r="E812" s="30">
        <f t="shared" si="56"/>
        <v>0</v>
      </c>
      <c r="F812" s="31">
        <f t="shared" si="57"/>
        <v>0</v>
      </c>
      <c r="G812" s="32">
        <f t="shared" si="58"/>
        <v>7.9787234042553168E-2</v>
      </c>
      <c r="H812" s="34">
        <f t="shared" si="60"/>
        <v>7.9787234042553168E-2</v>
      </c>
      <c r="I812" s="42"/>
      <c r="J812" s="38"/>
      <c r="K812" s="38"/>
      <c r="L812" s="1"/>
      <c r="M812" s="1"/>
      <c r="N812" s="1"/>
      <c r="O812" s="39"/>
      <c r="P812" s="39"/>
      <c r="Q812" s="39"/>
      <c r="R812" s="39"/>
      <c r="S812" s="41"/>
      <c r="T812" s="41"/>
      <c r="U812" s="39"/>
      <c r="V812" s="39"/>
      <c r="W812" s="39"/>
      <c r="X812" s="39"/>
      <c r="Y812" s="39"/>
      <c r="Z812" s="39"/>
      <c r="AA812" s="39"/>
      <c r="AB812" s="39"/>
      <c r="AC812" s="39"/>
      <c r="AD812" s="40"/>
      <c r="AE812" s="40"/>
    </row>
    <row r="813" spans="1:31" x14ac:dyDescent="0.25">
      <c r="A813" s="2"/>
      <c r="B813" s="1"/>
      <c r="C813" s="22">
        <v>753</v>
      </c>
      <c r="D813" s="34">
        <f t="shared" si="59"/>
        <v>7.53</v>
      </c>
      <c r="E813" s="30">
        <f t="shared" si="56"/>
        <v>0</v>
      </c>
      <c r="F813" s="31">
        <f t="shared" si="57"/>
        <v>0</v>
      </c>
      <c r="G813" s="32">
        <f t="shared" si="58"/>
        <v>7.9681274900398391E-2</v>
      </c>
      <c r="H813" s="34">
        <f t="shared" si="60"/>
        <v>7.9681274900398391E-2</v>
      </c>
      <c r="I813" s="42"/>
      <c r="J813" s="38"/>
      <c r="K813" s="38"/>
      <c r="L813" s="1"/>
      <c r="M813" s="1"/>
      <c r="N813" s="1"/>
      <c r="O813" s="39"/>
      <c r="P813" s="39"/>
      <c r="Q813" s="39"/>
      <c r="R813" s="39"/>
      <c r="S813" s="41"/>
      <c r="T813" s="41"/>
      <c r="U813" s="39"/>
      <c r="V813" s="39"/>
      <c r="W813" s="39"/>
      <c r="X813" s="39"/>
      <c r="Y813" s="39"/>
      <c r="Z813" s="39"/>
      <c r="AA813" s="39"/>
      <c r="AB813" s="39"/>
      <c r="AC813" s="39"/>
      <c r="AD813" s="40"/>
      <c r="AE813" s="40"/>
    </row>
    <row r="814" spans="1:31" x14ac:dyDescent="0.25">
      <c r="A814" s="2"/>
      <c r="B814" s="1"/>
      <c r="C814" s="22">
        <v>754</v>
      </c>
      <c r="D814" s="34">
        <f t="shared" si="59"/>
        <v>7.54</v>
      </c>
      <c r="E814" s="30">
        <f t="shared" si="56"/>
        <v>0</v>
      </c>
      <c r="F814" s="31">
        <f t="shared" si="57"/>
        <v>0</v>
      </c>
      <c r="G814" s="32">
        <f t="shared" si="58"/>
        <v>7.957559681697611E-2</v>
      </c>
      <c r="H814" s="34">
        <f t="shared" si="60"/>
        <v>7.957559681697611E-2</v>
      </c>
      <c r="I814" s="42"/>
      <c r="J814" s="38"/>
      <c r="K814" s="38"/>
      <c r="L814" s="1"/>
      <c r="M814" s="1"/>
      <c r="N814" s="1"/>
      <c r="O814" s="39"/>
      <c r="P814" s="39"/>
      <c r="Q814" s="39"/>
      <c r="R814" s="39"/>
      <c r="S814" s="41"/>
      <c r="T814" s="41"/>
      <c r="U814" s="39"/>
      <c r="V814" s="39"/>
      <c r="W814" s="39"/>
      <c r="X814" s="39"/>
      <c r="Y814" s="39"/>
      <c r="Z814" s="39"/>
      <c r="AA814" s="39"/>
      <c r="AB814" s="39"/>
      <c r="AC814" s="39"/>
      <c r="AD814" s="40"/>
      <c r="AE814" s="40"/>
    </row>
    <row r="815" spans="1:31" x14ac:dyDescent="0.25">
      <c r="A815" s="2"/>
      <c r="B815" s="1"/>
      <c r="C815" s="22">
        <v>755</v>
      </c>
      <c r="D815" s="34">
        <f t="shared" si="59"/>
        <v>7.55</v>
      </c>
      <c r="E815" s="30">
        <f t="shared" si="56"/>
        <v>0</v>
      </c>
      <c r="F815" s="31">
        <f t="shared" si="57"/>
        <v>0</v>
      </c>
      <c r="G815" s="32">
        <f t="shared" si="58"/>
        <v>7.9470198675496678E-2</v>
      </c>
      <c r="H815" s="34">
        <f t="shared" si="60"/>
        <v>7.9470198675496678E-2</v>
      </c>
      <c r="I815" s="42"/>
      <c r="J815" s="38"/>
      <c r="K815" s="38"/>
      <c r="L815" s="1"/>
      <c r="M815" s="1"/>
      <c r="N815" s="1"/>
      <c r="O815" s="39"/>
      <c r="P815" s="39"/>
      <c r="Q815" s="39"/>
      <c r="R815" s="39"/>
      <c r="S815" s="41"/>
      <c r="T815" s="41"/>
      <c r="U815" s="39"/>
      <c r="V815" s="39"/>
      <c r="W815" s="39"/>
      <c r="X815" s="39"/>
      <c r="Y815" s="39"/>
      <c r="Z815" s="39"/>
      <c r="AA815" s="39"/>
      <c r="AB815" s="39"/>
      <c r="AC815" s="39"/>
      <c r="AD815" s="40"/>
      <c r="AE815" s="40"/>
    </row>
    <row r="816" spans="1:31" x14ac:dyDescent="0.25">
      <c r="A816" s="2"/>
      <c r="B816" s="1"/>
      <c r="C816" s="22">
        <v>756</v>
      </c>
      <c r="D816" s="34">
        <f t="shared" si="59"/>
        <v>7.5600000000000005</v>
      </c>
      <c r="E816" s="30">
        <f t="shared" si="56"/>
        <v>0</v>
      </c>
      <c r="F816" s="31">
        <f t="shared" si="57"/>
        <v>0</v>
      </c>
      <c r="G816" s="32">
        <f t="shared" si="58"/>
        <v>7.9365079365079347E-2</v>
      </c>
      <c r="H816" s="34">
        <f t="shared" si="60"/>
        <v>7.9365079365079347E-2</v>
      </c>
      <c r="I816" s="42"/>
      <c r="J816" s="38"/>
      <c r="K816" s="38"/>
      <c r="L816" s="1"/>
      <c r="M816" s="1"/>
      <c r="N816" s="1"/>
      <c r="O816" s="39"/>
      <c r="P816" s="39"/>
      <c r="Q816" s="39"/>
      <c r="R816" s="39"/>
      <c r="S816" s="41"/>
      <c r="T816" s="41"/>
      <c r="U816" s="39"/>
      <c r="V816" s="39"/>
      <c r="W816" s="39"/>
      <c r="X816" s="39"/>
      <c r="Y816" s="39"/>
      <c r="Z816" s="39"/>
      <c r="AA816" s="39"/>
      <c r="AB816" s="39"/>
      <c r="AC816" s="39"/>
      <c r="AD816" s="40"/>
      <c r="AE816" s="40"/>
    </row>
    <row r="817" spans="1:31" x14ac:dyDescent="0.25">
      <c r="A817" s="2"/>
      <c r="B817" s="1"/>
      <c r="C817" s="22">
        <v>757</v>
      </c>
      <c r="D817" s="34">
        <f t="shared" si="59"/>
        <v>7.57</v>
      </c>
      <c r="E817" s="30">
        <f t="shared" si="56"/>
        <v>0</v>
      </c>
      <c r="F817" s="31">
        <f t="shared" si="57"/>
        <v>0</v>
      </c>
      <c r="G817" s="32">
        <f t="shared" si="58"/>
        <v>7.9260237780713325E-2</v>
      </c>
      <c r="H817" s="34">
        <f t="shared" si="60"/>
        <v>7.9260237780713325E-2</v>
      </c>
      <c r="I817" s="42"/>
      <c r="J817" s="38"/>
      <c r="K817" s="38"/>
      <c r="L817" s="1"/>
      <c r="M817" s="1"/>
      <c r="N817" s="1"/>
      <c r="O817" s="39"/>
      <c r="P817" s="39"/>
      <c r="Q817" s="39"/>
      <c r="R817" s="39"/>
      <c r="S817" s="41"/>
      <c r="T817" s="41"/>
      <c r="U817" s="39"/>
      <c r="V817" s="39"/>
      <c r="W817" s="39"/>
      <c r="X817" s="39"/>
      <c r="Y817" s="39"/>
      <c r="Z817" s="39"/>
      <c r="AA817" s="39"/>
      <c r="AB817" s="39"/>
      <c r="AC817" s="39"/>
      <c r="AD817" s="40"/>
      <c r="AE817" s="40"/>
    </row>
    <row r="818" spans="1:31" x14ac:dyDescent="0.25">
      <c r="A818" s="2"/>
      <c r="B818" s="1"/>
      <c r="C818" s="22">
        <v>758</v>
      </c>
      <c r="D818" s="34">
        <f t="shared" si="59"/>
        <v>7.58</v>
      </c>
      <c r="E818" s="30">
        <f t="shared" si="56"/>
        <v>0</v>
      </c>
      <c r="F818" s="31">
        <f t="shared" si="57"/>
        <v>0</v>
      </c>
      <c r="G818" s="32">
        <f t="shared" si="58"/>
        <v>7.9155672823218975E-2</v>
      </c>
      <c r="H818" s="34">
        <f t="shared" si="60"/>
        <v>7.9155672823218975E-2</v>
      </c>
      <c r="I818" s="42"/>
      <c r="J818" s="38"/>
      <c r="K818" s="38"/>
      <c r="L818" s="1"/>
      <c r="M818" s="1"/>
      <c r="N818" s="1"/>
      <c r="O818" s="39"/>
      <c r="P818" s="39"/>
      <c r="Q818" s="39"/>
      <c r="R818" s="39"/>
      <c r="S818" s="41"/>
      <c r="T818" s="41"/>
      <c r="U818" s="39"/>
      <c r="V818" s="39"/>
      <c r="W818" s="39"/>
      <c r="X818" s="39"/>
      <c r="Y818" s="39"/>
      <c r="Z818" s="39"/>
      <c r="AA818" s="39"/>
      <c r="AB818" s="39"/>
      <c r="AC818" s="39"/>
      <c r="AD818" s="40"/>
      <c r="AE818" s="40"/>
    </row>
    <row r="819" spans="1:31" x14ac:dyDescent="0.25">
      <c r="A819" s="2"/>
      <c r="B819" s="1"/>
      <c r="C819" s="22">
        <v>759</v>
      </c>
      <c r="D819" s="34">
        <f t="shared" si="59"/>
        <v>7.59</v>
      </c>
      <c r="E819" s="30">
        <f t="shared" si="56"/>
        <v>0</v>
      </c>
      <c r="F819" s="31">
        <f t="shared" si="57"/>
        <v>0</v>
      </c>
      <c r="G819" s="32">
        <f t="shared" si="58"/>
        <v>7.9051383399209474E-2</v>
      </c>
      <c r="H819" s="34">
        <f t="shared" si="60"/>
        <v>7.9051383399209474E-2</v>
      </c>
      <c r="I819" s="42"/>
      <c r="J819" s="38"/>
      <c r="K819" s="38"/>
      <c r="L819" s="1"/>
      <c r="M819" s="1"/>
      <c r="N819" s="1"/>
      <c r="O819" s="39"/>
      <c r="P819" s="39"/>
      <c r="Q819" s="39"/>
      <c r="R819" s="39"/>
      <c r="S819" s="41"/>
      <c r="T819" s="41"/>
      <c r="U819" s="39"/>
      <c r="V819" s="39"/>
      <c r="W819" s="39"/>
      <c r="X819" s="39"/>
      <c r="Y819" s="39"/>
      <c r="Z819" s="39"/>
      <c r="AA819" s="39"/>
      <c r="AB819" s="39"/>
      <c r="AC819" s="39"/>
      <c r="AD819" s="40"/>
      <c r="AE819" s="40"/>
    </row>
    <row r="820" spans="1:31" x14ac:dyDescent="0.25">
      <c r="A820" s="2"/>
      <c r="B820" s="1"/>
      <c r="C820" s="22">
        <v>760</v>
      </c>
      <c r="D820" s="34">
        <f t="shared" si="59"/>
        <v>7.6000000000000005</v>
      </c>
      <c r="E820" s="30">
        <f t="shared" si="56"/>
        <v>0</v>
      </c>
      <c r="F820" s="31">
        <f t="shared" si="57"/>
        <v>0</v>
      </c>
      <c r="G820" s="32">
        <f t="shared" si="58"/>
        <v>7.8947368421052613E-2</v>
      </c>
      <c r="H820" s="34">
        <f t="shared" si="60"/>
        <v>7.8947368421052613E-2</v>
      </c>
      <c r="I820" s="42"/>
      <c r="J820" s="38"/>
      <c r="K820" s="38"/>
      <c r="L820" s="1"/>
      <c r="M820" s="1"/>
      <c r="N820" s="1"/>
      <c r="O820" s="39"/>
      <c r="P820" s="39"/>
      <c r="Q820" s="39"/>
      <c r="R820" s="39"/>
      <c r="S820" s="41"/>
      <c r="T820" s="41"/>
      <c r="U820" s="39"/>
      <c r="V820" s="39"/>
      <c r="W820" s="39"/>
      <c r="X820" s="39"/>
      <c r="Y820" s="39"/>
      <c r="Z820" s="39"/>
      <c r="AA820" s="39"/>
      <c r="AB820" s="39"/>
      <c r="AC820" s="39"/>
      <c r="AD820" s="40"/>
      <c r="AE820" s="40"/>
    </row>
    <row r="821" spans="1:31" x14ac:dyDescent="0.25">
      <c r="A821" s="2"/>
      <c r="B821" s="1"/>
      <c r="C821" s="22">
        <v>761</v>
      </c>
      <c r="D821" s="34">
        <f t="shared" si="59"/>
        <v>7.61</v>
      </c>
      <c r="E821" s="30">
        <f t="shared" si="56"/>
        <v>0</v>
      </c>
      <c r="F821" s="31">
        <f t="shared" si="57"/>
        <v>0</v>
      </c>
      <c r="G821" s="32">
        <f t="shared" si="58"/>
        <v>7.88436268068331E-2</v>
      </c>
      <c r="H821" s="34">
        <f t="shared" si="60"/>
        <v>7.88436268068331E-2</v>
      </c>
      <c r="I821" s="42"/>
      <c r="J821" s="38"/>
      <c r="K821" s="38"/>
      <c r="L821" s="1"/>
      <c r="M821" s="1"/>
      <c r="N821" s="1"/>
      <c r="O821" s="39"/>
      <c r="P821" s="39"/>
      <c r="Q821" s="39"/>
      <c r="R821" s="39"/>
      <c r="S821" s="41"/>
      <c r="T821" s="41"/>
      <c r="U821" s="39"/>
      <c r="V821" s="39"/>
      <c r="W821" s="39"/>
      <c r="X821" s="39"/>
      <c r="Y821" s="39"/>
      <c r="Z821" s="39"/>
      <c r="AA821" s="39"/>
      <c r="AB821" s="39"/>
      <c r="AC821" s="39"/>
      <c r="AD821" s="40"/>
      <c r="AE821" s="40"/>
    </row>
    <row r="822" spans="1:31" x14ac:dyDescent="0.25">
      <c r="A822" s="2"/>
      <c r="B822" s="1"/>
      <c r="C822" s="22">
        <v>762</v>
      </c>
      <c r="D822" s="34">
        <f t="shared" si="59"/>
        <v>7.62</v>
      </c>
      <c r="E822" s="30">
        <f t="shared" si="56"/>
        <v>0</v>
      </c>
      <c r="F822" s="31">
        <f t="shared" si="57"/>
        <v>0</v>
      </c>
      <c r="G822" s="32">
        <f t="shared" si="58"/>
        <v>7.8740157480314946E-2</v>
      </c>
      <c r="H822" s="34">
        <f t="shared" si="60"/>
        <v>7.8740157480314946E-2</v>
      </c>
      <c r="I822" s="42"/>
      <c r="J822" s="38"/>
      <c r="K822" s="38"/>
      <c r="L822" s="1"/>
      <c r="M822" s="1"/>
      <c r="N822" s="1"/>
      <c r="O822" s="39"/>
      <c r="P822" s="39"/>
      <c r="Q822" s="39"/>
      <c r="R822" s="39"/>
      <c r="S822" s="41"/>
      <c r="T822" s="41"/>
      <c r="U822" s="39"/>
      <c r="V822" s="39"/>
      <c r="W822" s="39"/>
      <c r="X822" s="39"/>
      <c r="Y822" s="39"/>
      <c r="Z822" s="39"/>
      <c r="AA822" s="39"/>
      <c r="AB822" s="39"/>
      <c r="AC822" s="39"/>
      <c r="AD822" s="40"/>
      <c r="AE822" s="40"/>
    </row>
    <row r="823" spans="1:31" x14ac:dyDescent="0.25">
      <c r="A823" s="2"/>
      <c r="B823" s="1"/>
      <c r="C823" s="22">
        <v>763</v>
      </c>
      <c r="D823" s="34">
        <f t="shared" si="59"/>
        <v>7.63</v>
      </c>
      <c r="E823" s="30">
        <f t="shared" si="56"/>
        <v>0</v>
      </c>
      <c r="F823" s="31">
        <f t="shared" si="57"/>
        <v>0</v>
      </c>
      <c r="G823" s="32">
        <f t="shared" si="58"/>
        <v>7.8636959370904314E-2</v>
      </c>
      <c r="H823" s="34">
        <f t="shared" si="60"/>
        <v>7.8636959370904314E-2</v>
      </c>
      <c r="I823" s="42"/>
      <c r="J823" s="38"/>
      <c r="K823" s="38"/>
      <c r="L823" s="1"/>
      <c r="M823" s="1"/>
      <c r="N823" s="1"/>
      <c r="O823" s="39"/>
      <c r="P823" s="39"/>
      <c r="Q823" s="39"/>
      <c r="R823" s="39"/>
      <c r="S823" s="41"/>
      <c r="T823" s="41"/>
      <c r="U823" s="39"/>
      <c r="V823" s="39"/>
      <c r="W823" s="39"/>
      <c r="X823" s="39"/>
      <c r="Y823" s="39"/>
      <c r="Z823" s="39"/>
      <c r="AA823" s="39"/>
      <c r="AB823" s="39"/>
      <c r="AC823" s="39"/>
      <c r="AD823" s="40"/>
      <c r="AE823" s="40"/>
    </row>
    <row r="824" spans="1:31" x14ac:dyDescent="0.25">
      <c r="A824" s="2"/>
      <c r="B824" s="1"/>
      <c r="C824" s="22">
        <v>764</v>
      </c>
      <c r="D824" s="34">
        <f t="shared" si="59"/>
        <v>7.6400000000000006</v>
      </c>
      <c r="E824" s="30">
        <f t="shared" si="56"/>
        <v>0</v>
      </c>
      <c r="F824" s="31">
        <f t="shared" si="57"/>
        <v>0</v>
      </c>
      <c r="G824" s="32">
        <f t="shared" si="58"/>
        <v>7.8534031413612537E-2</v>
      </c>
      <c r="H824" s="34">
        <f t="shared" si="60"/>
        <v>7.8534031413612537E-2</v>
      </c>
      <c r="I824" s="42"/>
      <c r="J824" s="38"/>
      <c r="K824" s="38"/>
      <c r="L824" s="1"/>
      <c r="M824" s="1"/>
      <c r="N824" s="1"/>
      <c r="O824" s="39"/>
      <c r="P824" s="39"/>
      <c r="Q824" s="39"/>
      <c r="R824" s="39"/>
      <c r="S824" s="41"/>
      <c r="T824" s="41"/>
      <c r="U824" s="39"/>
      <c r="V824" s="39"/>
      <c r="W824" s="39"/>
      <c r="X824" s="39"/>
      <c r="Y824" s="39"/>
      <c r="Z824" s="39"/>
      <c r="AA824" s="39"/>
      <c r="AB824" s="39"/>
      <c r="AC824" s="39"/>
      <c r="AD824" s="40"/>
      <c r="AE824" s="40"/>
    </row>
    <row r="825" spans="1:31" x14ac:dyDescent="0.25">
      <c r="A825" s="2"/>
      <c r="B825" s="1"/>
      <c r="C825" s="22">
        <v>765</v>
      </c>
      <c r="D825" s="34">
        <f t="shared" si="59"/>
        <v>7.65</v>
      </c>
      <c r="E825" s="30">
        <f t="shared" si="56"/>
        <v>0</v>
      </c>
      <c r="F825" s="31">
        <f t="shared" si="57"/>
        <v>0</v>
      </c>
      <c r="G825" s="32">
        <f t="shared" si="58"/>
        <v>7.8431372549019593E-2</v>
      </c>
      <c r="H825" s="34">
        <f t="shared" si="60"/>
        <v>7.8431372549019593E-2</v>
      </c>
      <c r="I825" s="42"/>
      <c r="J825" s="38"/>
      <c r="K825" s="38"/>
      <c r="L825" s="1"/>
      <c r="M825" s="1"/>
      <c r="N825" s="1"/>
      <c r="O825" s="39"/>
      <c r="P825" s="39"/>
      <c r="Q825" s="39"/>
      <c r="R825" s="39"/>
      <c r="S825" s="41"/>
      <c r="T825" s="41"/>
      <c r="U825" s="39"/>
      <c r="V825" s="39"/>
      <c r="W825" s="39"/>
      <c r="X825" s="39"/>
      <c r="Y825" s="39"/>
      <c r="Z825" s="39"/>
      <c r="AA825" s="39"/>
      <c r="AB825" s="39"/>
      <c r="AC825" s="39"/>
      <c r="AD825" s="40"/>
      <c r="AE825" s="40"/>
    </row>
    <row r="826" spans="1:31" x14ac:dyDescent="0.25">
      <c r="A826" s="2"/>
      <c r="B826" s="1"/>
      <c r="C826" s="22">
        <v>766</v>
      </c>
      <c r="D826" s="34">
        <f t="shared" si="59"/>
        <v>7.66</v>
      </c>
      <c r="E826" s="30">
        <f t="shared" si="56"/>
        <v>0</v>
      </c>
      <c r="F826" s="31">
        <f t="shared" si="57"/>
        <v>0</v>
      </c>
      <c r="G826" s="32">
        <f t="shared" si="58"/>
        <v>7.8328981723237573E-2</v>
      </c>
      <c r="H826" s="34">
        <f t="shared" si="60"/>
        <v>7.8328981723237573E-2</v>
      </c>
      <c r="I826" s="42"/>
      <c r="J826" s="38"/>
      <c r="K826" s="38"/>
      <c r="L826" s="1"/>
      <c r="M826" s="1"/>
      <c r="N826" s="1"/>
      <c r="O826" s="39"/>
      <c r="P826" s="39"/>
      <c r="Q826" s="39"/>
      <c r="R826" s="39"/>
      <c r="S826" s="41"/>
      <c r="T826" s="41"/>
      <c r="U826" s="39"/>
      <c r="V826" s="39"/>
      <c r="W826" s="39"/>
      <c r="X826" s="39"/>
      <c r="Y826" s="39"/>
      <c r="Z826" s="39"/>
      <c r="AA826" s="39"/>
      <c r="AB826" s="39"/>
      <c r="AC826" s="39"/>
      <c r="AD826" s="40"/>
      <c r="AE826" s="40"/>
    </row>
    <row r="827" spans="1:31" x14ac:dyDescent="0.25">
      <c r="A827" s="2"/>
      <c r="B827" s="1"/>
      <c r="C827" s="22">
        <v>767</v>
      </c>
      <c r="D827" s="34">
        <f t="shared" si="59"/>
        <v>7.67</v>
      </c>
      <c r="E827" s="30">
        <f t="shared" si="56"/>
        <v>0</v>
      </c>
      <c r="F827" s="31">
        <f t="shared" si="57"/>
        <v>0</v>
      </c>
      <c r="G827" s="32">
        <f t="shared" si="58"/>
        <v>7.8226857887874826E-2</v>
      </c>
      <c r="H827" s="34">
        <f t="shared" si="60"/>
        <v>7.8226857887874826E-2</v>
      </c>
      <c r="I827" s="42"/>
      <c r="J827" s="38"/>
      <c r="K827" s="38"/>
      <c r="L827" s="1"/>
      <c r="M827" s="1"/>
      <c r="N827" s="1"/>
      <c r="O827" s="39"/>
      <c r="P827" s="39"/>
      <c r="Q827" s="39"/>
      <c r="R827" s="39"/>
      <c r="S827" s="41"/>
      <c r="T827" s="41"/>
      <c r="U827" s="39"/>
      <c r="V827" s="39"/>
      <c r="W827" s="39"/>
      <c r="X827" s="39"/>
      <c r="Y827" s="39"/>
      <c r="Z827" s="39"/>
      <c r="AA827" s="39"/>
      <c r="AB827" s="39"/>
      <c r="AC827" s="39"/>
      <c r="AD827" s="40"/>
      <c r="AE827" s="40"/>
    </row>
    <row r="828" spans="1:31" x14ac:dyDescent="0.25">
      <c r="A828" s="2"/>
      <c r="B828" s="1"/>
      <c r="C828" s="22">
        <v>768</v>
      </c>
      <c r="D828" s="34">
        <f t="shared" si="59"/>
        <v>7.68</v>
      </c>
      <c r="E828" s="30">
        <f t="shared" ref="E828:E860" si="61">IF(D828&lt;$C$25,0.4+5*D828,0)</f>
        <v>0</v>
      </c>
      <c r="F828" s="31">
        <f t="shared" ref="F828:F860" si="62">IF(AND(D828&gt;=$C$25,D828&lt;=$C$26),$C$12,0)</f>
        <v>0</v>
      </c>
      <c r="G828" s="32">
        <f t="shared" ref="G828:G860" si="63">IF(D828&gt;$C$26,$C$13/D828,0)</f>
        <v>7.8124999999999986E-2</v>
      </c>
      <c r="H828" s="34">
        <f t="shared" si="60"/>
        <v>7.8124999999999986E-2</v>
      </c>
      <c r="I828" s="42"/>
      <c r="J828" s="38"/>
      <c r="K828" s="38"/>
      <c r="L828" s="1"/>
      <c r="M828" s="1"/>
      <c r="N828" s="1"/>
      <c r="O828" s="39"/>
      <c r="P828" s="39"/>
      <c r="Q828" s="39"/>
      <c r="R828" s="39"/>
      <c r="S828" s="41"/>
      <c r="T828" s="41"/>
      <c r="U828" s="39"/>
      <c r="V828" s="39"/>
      <c r="W828" s="39"/>
      <c r="X828" s="39"/>
      <c r="Y828" s="39"/>
      <c r="Z828" s="39"/>
      <c r="AA828" s="39"/>
      <c r="AB828" s="39"/>
      <c r="AC828" s="39"/>
      <c r="AD828" s="40"/>
      <c r="AE828" s="40"/>
    </row>
    <row r="829" spans="1:31" x14ac:dyDescent="0.25">
      <c r="A829" s="2"/>
      <c r="B829" s="1"/>
      <c r="C829" s="22">
        <v>769</v>
      </c>
      <c r="D829" s="34">
        <f t="shared" ref="D829:D860" si="64">$D$55*C829</f>
        <v>7.69</v>
      </c>
      <c r="E829" s="30">
        <f t="shared" si="61"/>
        <v>0</v>
      </c>
      <c r="F829" s="31">
        <f t="shared" si="62"/>
        <v>0</v>
      </c>
      <c r="G829" s="32">
        <f t="shared" si="63"/>
        <v>7.8023407022106611E-2</v>
      </c>
      <c r="H829" s="34">
        <f t="shared" si="60"/>
        <v>7.8023407022106611E-2</v>
      </c>
      <c r="I829" s="42"/>
      <c r="J829" s="38"/>
      <c r="K829" s="38"/>
      <c r="L829" s="1"/>
      <c r="M829" s="1"/>
      <c r="N829" s="1"/>
      <c r="O829" s="39"/>
      <c r="P829" s="39"/>
      <c r="Q829" s="39"/>
      <c r="R829" s="39"/>
      <c r="S829" s="41"/>
      <c r="T829" s="41"/>
      <c r="U829" s="39"/>
      <c r="V829" s="39"/>
      <c r="W829" s="39"/>
      <c r="X829" s="39"/>
      <c r="Y829" s="39"/>
      <c r="Z829" s="39"/>
      <c r="AA829" s="39"/>
      <c r="AB829" s="39"/>
      <c r="AC829" s="39"/>
      <c r="AD829" s="40"/>
      <c r="AE829" s="40"/>
    </row>
    <row r="830" spans="1:31" x14ac:dyDescent="0.25">
      <c r="A830" s="2"/>
      <c r="B830" s="1"/>
      <c r="C830" s="22">
        <v>770</v>
      </c>
      <c r="D830" s="34">
        <f t="shared" si="64"/>
        <v>7.7</v>
      </c>
      <c r="E830" s="30">
        <f t="shared" si="61"/>
        <v>0</v>
      </c>
      <c r="F830" s="31">
        <f t="shared" si="62"/>
        <v>0</v>
      </c>
      <c r="G830" s="32">
        <f t="shared" si="63"/>
        <v>7.7922077922077906E-2</v>
      </c>
      <c r="H830" s="34">
        <f t="shared" si="60"/>
        <v>7.7922077922077906E-2</v>
      </c>
      <c r="I830" s="42"/>
      <c r="J830" s="38"/>
      <c r="K830" s="38"/>
      <c r="L830" s="1"/>
      <c r="M830" s="1"/>
      <c r="N830" s="1"/>
      <c r="O830" s="39"/>
      <c r="P830" s="39"/>
      <c r="Q830" s="39"/>
      <c r="R830" s="39"/>
      <c r="S830" s="41"/>
      <c r="T830" s="41"/>
      <c r="U830" s="39"/>
      <c r="V830" s="39"/>
      <c r="W830" s="39"/>
      <c r="X830" s="39"/>
      <c r="Y830" s="39"/>
      <c r="Z830" s="39"/>
      <c r="AA830" s="39"/>
      <c r="AB830" s="39"/>
      <c r="AC830" s="39"/>
      <c r="AD830" s="40"/>
      <c r="AE830" s="40"/>
    </row>
    <row r="831" spans="1:31" x14ac:dyDescent="0.25">
      <c r="A831" s="2"/>
      <c r="B831" s="1"/>
      <c r="C831" s="22">
        <v>771</v>
      </c>
      <c r="D831" s="34">
        <f t="shared" si="64"/>
        <v>7.71</v>
      </c>
      <c r="E831" s="30">
        <f t="shared" si="61"/>
        <v>0</v>
      </c>
      <c r="F831" s="31">
        <f t="shared" si="62"/>
        <v>0</v>
      </c>
      <c r="G831" s="32">
        <f t="shared" si="63"/>
        <v>7.7821011673151738E-2</v>
      </c>
      <c r="H831" s="34">
        <f t="shared" si="60"/>
        <v>7.7821011673151738E-2</v>
      </c>
      <c r="I831" s="42"/>
      <c r="J831" s="38"/>
      <c r="K831" s="38"/>
      <c r="L831" s="1"/>
      <c r="M831" s="1"/>
      <c r="N831" s="1"/>
      <c r="O831" s="39"/>
      <c r="P831" s="39"/>
      <c r="Q831" s="39"/>
      <c r="R831" s="39"/>
      <c r="S831" s="41"/>
      <c r="T831" s="41"/>
      <c r="U831" s="39"/>
      <c r="V831" s="39"/>
      <c r="W831" s="39"/>
      <c r="X831" s="39"/>
      <c r="Y831" s="39"/>
      <c r="Z831" s="39"/>
      <c r="AA831" s="39"/>
      <c r="AB831" s="39"/>
      <c r="AC831" s="39"/>
      <c r="AD831" s="40"/>
      <c r="AE831" s="40"/>
    </row>
    <row r="832" spans="1:31" x14ac:dyDescent="0.25">
      <c r="A832" s="2"/>
      <c r="B832" s="1"/>
      <c r="C832" s="22">
        <v>772</v>
      </c>
      <c r="D832" s="34">
        <f t="shared" si="64"/>
        <v>7.72</v>
      </c>
      <c r="E832" s="30">
        <f t="shared" si="61"/>
        <v>0</v>
      </c>
      <c r="F832" s="31">
        <f t="shared" si="62"/>
        <v>0</v>
      </c>
      <c r="G832" s="32">
        <f t="shared" si="63"/>
        <v>7.7720207253885995E-2</v>
      </c>
      <c r="H832" s="34">
        <f t="shared" si="60"/>
        <v>7.7720207253885995E-2</v>
      </c>
      <c r="I832" s="42"/>
      <c r="J832" s="38"/>
      <c r="K832" s="38"/>
      <c r="L832" s="1"/>
      <c r="M832" s="1"/>
      <c r="N832" s="1"/>
      <c r="O832" s="39"/>
      <c r="P832" s="39"/>
      <c r="Q832" s="39"/>
      <c r="R832" s="39"/>
      <c r="S832" s="41"/>
      <c r="T832" s="41"/>
      <c r="U832" s="39"/>
      <c r="V832" s="39"/>
      <c r="W832" s="39"/>
      <c r="X832" s="39"/>
      <c r="Y832" s="39"/>
      <c r="Z832" s="39"/>
      <c r="AA832" s="39"/>
      <c r="AB832" s="39"/>
      <c r="AC832" s="39"/>
      <c r="AD832" s="40"/>
      <c r="AE832" s="40"/>
    </row>
    <row r="833" spans="1:31" x14ac:dyDescent="0.25">
      <c r="A833" s="2"/>
      <c r="B833" s="1"/>
      <c r="C833" s="22">
        <v>773</v>
      </c>
      <c r="D833" s="34">
        <f t="shared" si="64"/>
        <v>7.73</v>
      </c>
      <c r="E833" s="30">
        <f t="shared" si="61"/>
        <v>0</v>
      </c>
      <c r="F833" s="31">
        <f t="shared" si="62"/>
        <v>0</v>
      </c>
      <c r="G833" s="32">
        <f t="shared" si="63"/>
        <v>7.7619663648124171E-2</v>
      </c>
      <c r="H833" s="34">
        <f t="shared" si="60"/>
        <v>7.7619663648124171E-2</v>
      </c>
      <c r="I833" s="42"/>
      <c r="J833" s="38"/>
      <c r="K833" s="38"/>
      <c r="L833" s="1"/>
      <c r="M833" s="1"/>
      <c r="N833" s="1"/>
      <c r="O833" s="39"/>
      <c r="P833" s="39"/>
      <c r="Q833" s="39"/>
      <c r="R833" s="39"/>
      <c r="S833" s="41"/>
      <c r="T833" s="41"/>
      <c r="U833" s="39"/>
      <c r="V833" s="39"/>
      <c r="W833" s="39"/>
      <c r="X833" s="39"/>
      <c r="Y833" s="39"/>
      <c r="Z833" s="39"/>
      <c r="AA833" s="39"/>
      <c r="AB833" s="39"/>
      <c r="AC833" s="39"/>
      <c r="AD833" s="40"/>
      <c r="AE833" s="40"/>
    </row>
    <row r="834" spans="1:31" x14ac:dyDescent="0.25">
      <c r="A834" s="2"/>
      <c r="B834" s="1"/>
      <c r="C834" s="22">
        <v>774</v>
      </c>
      <c r="D834" s="34">
        <f t="shared" si="64"/>
        <v>7.74</v>
      </c>
      <c r="E834" s="30">
        <f t="shared" si="61"/>
        <v>0</v>
      </c>
      <c r="F834" s="31">
        <f t="shared" si="62"/>
        <v>0</v>
      </c>
      <c r="G834" s="32">
        <f t="shared" si="63"/>
        <v>7.7519379844961225E-2</v>
      </c>
      <c r="H834" s="34">
        <f t="shared" si="60"/>
        <v>7.7519379844961225E-2</v>
      </c>
      <c r="I834" s="42"/>
      <c r="J834" s="38"/>
      <c r="K834" s="38"/>
      <c r="L834" s="1"/>
      <c r="M834" s="1"/>
      <c r="N834" s="1"/>
      <c r="O834" s="39"/>
      <c r="P834" s="39"/>
      <c r="Q834" s="39"/>
      <c r="R834" s="39"/>
      <c r="S834" s="41"/>
      <c r="T834" s="41"/>
      <c r="U834" s="39"/>
      <c r="V834" s="39"/>
      <c r="W834" s="39"/>
      <c r="X834" s="39"/>
      <c r="Y834" s="39"/>
      <c r="Z834" s="39"/>
      <c r="AA834" s="39"/>
      <c r="AB834" s="39"/>
      <c r="AC834" s="39"/>
      <c r="AD834" s="40"/>
      <c r="AE834" s="40"/>
    </row>
    <row r="835" spans="1:31" x14ac:dyDescent="0.25">
      <c r="A835" s="2"/>
      <c r="B835" s="1"/>
      <c r="C835" s="22">
        <v>775</v>
      </c>
      <c r="D835" s="34">
        <f t="shared" si="64"/>
        <v>7.75</v>
      </c>
      <c r="E835" s="30">
        <f t="shared" si="61"/>
        <v>0</v>
      </c>
      <c r="F835" s="31">
        <f t="shared" si="62"/>
        <v>0</v>
      </c>
      <c r="G835" s="32">
        <f t="shared" si="63"/>
        <v>7.7419354838709667E-2</v>
      </c>
      <c r="H835" s="34">
        <f t="shared" si="60"/>
        <v>7.7419354838709667E-2</v>
      </c>
      <c r="I835" s="42"/>
      <c r="J835" s="38"/>
      <c r="K835" s="38"/>
      <c r="L835" s="1"/>
      <c r="M835" s="1"/>
      <c r="N835" s="1"/>
      <c r="O835" s="39"/>
      <c r="P835" s="39"/>
      <c r="Q835" s="39"/>
      <c r="R835" s="39"/>
      <c r="S835" s="41"/>
      <c r="T835" s="41"/>
      <c r="U835" s="39"/>
      <c r="V835" s="39"/>
      <c r="W835" s="39"/>
      <c r="X835" s="39"/>
      <c r="Y835" s="39"/>
      <c r="Z835" s="39"/>
      <c r="AA835" s="39"/>
      <c r="AB835" s="39"/>
      <c r="AC835" s="39"/>
      <c r="AD835" s="40"/>
      <c r="AE835" s="40"/>
    </row>
    <row r="836" spans="1:31" x14ac:dyDescent="0.25">
      <c r="A836" s="2"/>
      <c r="B836" s="1"/>
      <c r="C836" s="22">
        <v>776</v>
      </c>
      <c r="D836" s="34">
        <f t="shared" si="64"/>
        <v>7.76</v>
      </c>
      <c r="E836" s="30">
        <f t="shared" si="61"/>
        <v>0</v>
      </c>
      <c r="F836" s="31">
        <f t="shared" si="62"/>
        <v>0</v>
      </c>
      <c r="G836" s="32">
        <f t="shared" si="63"/>
        <v>7.7319587628865968E-2</v>
      </c>
      <c r="H836" s="34">
        <f t="shared" si="60"/>
        <v>7.7319587628865968E-2</v>
      </c>
      <c r="I836" s="42"/>
      <c r="J836" s="38"/>
      <c r="K836" s="38"/>
      <c r="L836" s="1"/>
      <c r="M836" s="1"/>
      <c r="N836" s="1"/>
      <c r="O836" s="39"/>
      <c r="P836" s="39"/>
      <c r="Q836" s="39"/>
      <c r="R836" s="39"/>
      <c r="S836" s="41"/>
      <c r="T836" s="41"/>
      <c r="U836" s="39"/>
      <c r="V836" s="39"/>
      <c r="W836" s="39"/>
      <c r="X836" s="39"/>
      <c r="Y836" s="39"/>
      <c r="Z836" s="39"/>
      <c r="AA836" s="39"/>
      <c r="AB836" s="39"/>
      <c r="AC836" s="39"/>
      <c r="AD836" s="40"/>
      <c r="AE836" s="40"/>
    </row>
    <row r="837" spans="1:31" x14ac:dyDescent="0.25">
      <c r="A837" s="2"/>
      <c r="B837" s="1"/>
      <c r="C837" s="22">
        <v>777</v>
      </c>
      <c r="D837" s="34">
        <f t="shared" si="64"/>
        <v>7.7700000000000005</v>
      </c>
      <c r="E837" s="30">
        <f t="shared" si="61"/>
        <v>0</v>
      </c>
      <c r="F837" s="31">
        <f t="shared" si="62"/>
        <v>0</v>
      </c>
      <c r="G837" s="32">
        <f t="shared" si="63"/>
        <v>7.7220077220077205E-2</v>
      </c>
      <c r="H837" s="34">
        <f t="shared" si="60"/>
        <v>7.7220077220077205E-2</v>
      </c>
      <c r="I837" s="42"/>
      <c r="J837" s="38"/>
      <c r="K837" s="38"/>
      <c r="L837" s="1"/>
      <c r="M837" s="1"/>
      <c r="N837" s="1"/>
      <c r="O837" s="39"/>
      <c r="P837" s="39"/>
      <c r="Q837" s="39"/>
      <c r="R837" s="39"/>
      <c r="S837" s="41"/>
      <c r="T837" s="41"/>
      <c r="U837" s="39"/>
      <c r="V837" s="39"/>
      <c r="W837" s="39"/>
      <c r="X837" s="39"/>
      <c r="Y837" s="39"/>
      <c r="Z837" s="39"/>
      <c r="AA837" s="39"/>
      <c r="AB837" s="39"/>
      <c r="AC837" s="39"/>
      <c r="AD837" s="40"/>
      <c r="AE837" s="40"/>
    </row>
    <row r="838" spans="1:31" x14ac:dyDescent="0.25">
      <c r="A838" s="2"/>
      <c r="B838" s="1"/>
      <c r="C838" s="22">
        <v>778</v>
      </c>
      <c r="D838" s="34">
        <f t="shared" si="64"/>
        <v>7.78</v>
      </c>
      <c r="E838" s="30">
        <f t="shared" si="61"/>
        <v>0</v>
      </c>
      <c r="F838" s="31">
        <f t="shared" si="62"/>
        <v>0</v>
      </c>
      <c r="G838" s="32">
        <f t="shared" si="63"/>
        <v>7.7120822622107954E-2</v>
      </c>
      <c r="H838" s="34">
        <f t="shared" si="60"/>
        <v>7.7120822622107954E-2</v>
      </c>
      <c r="I838" s="42"/>
      <c r="J838" s="38"/>
      <c r="K838" s="38"/>
      <c r="L838" s="1"/>
      <c r="M838" s="1"/>
      <c r="N838" s="1"/>
      <c r="O838" s="39"/>
      <c r="P838" s="39"/>
      <c r="Q838" s="39"/>
      <c r="R838" s="39"/>
      <c r="S838" s="41"/>
      <c r="T838" s="41"/>
      <c r="U838" s="39"/>
      <c r="V838" s="39"/>
      <c r="W838" s="39"/>
      <c r="X838" s="39"/>
      <c r="Y838" s="39"/>
      <c r="Z838" s="39"/>
      <c r="AA838" s="39"/>
      <c r="AB838" s="39"/>
      <c r="AC838" s="39"/>
      <c r="AD838" s="40"/>
      <c r="AE838" s="40"/>
    </row>
    <row r="839" spans="1:31" x14ac:dyDescent="0.25">
      <c r="A839" s="2"/>
      <c r="B839" s="1"/>
      <c r="C839" s="22">
        <v>779</v>
      </c>
      <c r="D839" s="34">
        <f t="shared" si="64"/>
        <v>7.79</v>
      </c>
      <c r="E839" s="30">
        <f t="shared" si="61"/>
        <v>0</v>
      </c>
      <c r="F839" s="31">
        <f t="shared" si="62"/>
        <v>0</v>
      </c>
      <c r="G839" s="32">
        <f t="shared" si="63"/>
        <v>7.7021822849807423E-2</v>
      </c>
      <c r="H839" s="34">
        <f t="shared" si="60"/>
        <v>7.7021822849807423E-2</v>
      </c>
      <c r="I839" s="42"/>
      <c r="J839" s="38"/>
      <c r="K839" s="38"/>
      <c r="L839" s="1"/>
      <c r="M839" s="1"/>
      <c r="N839" s="1"/>
      <c r="O839" s="39"/>
      <c r="P839" s="39"/>
      <c r="Q839" s="39"/>
      <c r="R839" s="39"/>
      <c r="S839" s="41"/>
      <c r="T839" s="41"/>
      <c r="U839" s="39"/>
      <c r="V839" s="39"/>
      <c r="W839" s="39"/>
      <c r="X839" s="39"/>
      <c r="Y839" s="39"/>
      <c r="Z839" s="39"/>
      <c r="AA839" s="39"/>
      <c r="AB839" s="39"/>
      <c r="AC839" s="39"/>
      <c r="AD839" s="40"/>
      <c r="AE839" s="40"/>
    </row>
    <row r="840" spans="1:31" x14ac:dyDescent="0.25">
      <c r="A840" s="2"/>
      <c r="B840" s="1"/>
      <c r="C840" s="22">
        <v>780</v>
      </c>
      <c r="D840" s="34">
        <f t="shared" si="64"/>
        <v>7.8</v>
      </c>
      <c r="E840" s="30">
        <f t="shared" si="61"/>
        <v>0</v>
      </c>
      <c r="F840" s="31">
        <f t="shared" si="62"/>
        <v>0</v>
      </c>
      <c r="G840" s="32">
        <f t="shared" si="63"/>
        <v>7.6923076923076913E-2</v>
      </c>
      <c r="H840" s="34">
        <f t="shared" si="60"/>
        <v>7.6923076923076913E-2</v>
      </c>
      <c r="I840" s="42"/>
      <c r="J840" s="38"/>
      <c r="K840" s="38"/>
      <c r="L840" s="1"/>
      <c r="M840" s="1"/>
      <c r="N840" s="1"/>
      <c r="O840" s="39"/>
      <c r="P840" s="39"/>
      <c r="Q840" s="39"/>
      <c r="R840" s="39"/>
      <c r="S840" s="41"/>
      <c r="T840" s="41"/>
      <c r="U840" s="39"/>
      <c r="V840" s="39"/>
      <c r="W840" s="39"/>
      <c r="X840" s="39"/>
      <c r="Y840" s="39"/>
      <c r="Z840" s="39"/>
      <c r="AA840" s="39"/>
      <c r="AB840" s="39"/>
      <c r="AC840" s="39"/>
      <c r="AD840" s="40"/>
      <c r="AE840" s="40"/>
    </row>
    <row r="841" spans="1:31" x14ac:dyDescent="0.25">
      <c r="A841" s="2"/>
      <c r="B841" s="1"/>
      <c r="C841" s="22">
        <v>781</v>
      </c>
      <c r="D841" s="34">
        <f t="shared" si="64"/>
        <v>7.8100000000000005</v>
      </c>
      <c r="E841" s="30">
        <f t="shared" si="61"/>
        <v>0</v>
      </c>
      <c r="F841" s="31">
        <f t="shared" si="62"/>
        <v>0</v>
      </c>
      <c r="G841" s="32">
        <f t="shared" si="63"/>
        <v>7.6824583866837368E-2</v>
      </c>
      <c r="H841" s="34">
        <f t="shared" si="60"/>
        <v>7.6824583866837368E-2</v>
      </c>
      <c r="I841" s="42"/>
      <c r="J841" s="38"/>
      <c r="K841" s="38"/>
      <c r="L841" s="1"/>
      <c r="M841" s="1"/>
      <c r="N841" s="1"/>
      <c r="O841" s="39"/>
      <c r="P841" s="39"/>
      <c r="Q841" s="39"/>
      <c r="R841" s="39"/>
      <c r="S841" s="41"/>
      <c r="T841" s="41"/>
      <c r="U841" s="39"/>
      <c r="V841" s="39"/>
      <c r="W841" s="39"/>
      <c r="X841" s="39"/>
      <c r="Y841" s="39"/>
      <c r="Z841" s="39"/>
      <c r="AA841" s="39"/>
      <c r="AB841" s="39"/>
      <c r="AC841" s="39"/>
      <c r="AD841" s="40"/>
      <c r="AE841" s="40"/>
    </row>
    <row r="842" spans="1:31" x14ac:dyDescent="0.25">
      <c r="A842" s="2"/>
      <c r="B842" s="1"/>
      <c r="C842" s="22">
        <v>782</v>
      </c>
      <c r="D842" s="34">
        <f t="shared" si="64"/>
        <v>7.82</v>
      </c>
      <c r="E842" s="30">
        <f t="shared" si="61"/>
        <v>0</v>
      </c>
      <c r="F842" s="31">
        <f t="shared" si="62"/>
        <v>0</v>
      </c>
      <c r="G842" s="32">
        <f t="shared" si="63"/>
        <v>7.6726342710997417E-2</v>
      </c>
      <c r="H842" s="34">
        <f t="shared" si="60"/>
        <v>7.6726342710997417E-2</v>
      </c>
      <c r="I842" s="42"/>
      <c r="J842" s="38"/>
      <c r="K842" s="38"/>
      <c r="L842" s="1"/>
      <c r="M842" s="1"/>
      <c r="N842" s="1"/>
      <c r="O842" s="39"/>
      <c r="P842" s="39"/>
      <c r="Q842" s="39"/>
      <c r="R842" s="39"/>
      <c r="S842" s="41"/>
      <c r="T842" s="41"/>
      <c r="U842" s="39"/>
      <c r="V842" s="39"/>
      <c r="W842" s="39"/>
      <c r="X842" s="39"/>
      <c r="Y842" s="39"/>
      <c r="Z842" s="39"/>
      <c r="AA842" s="39"/>
      <c r="AB842" s="39"/>
      <c r="AC842" s="39"/>
      <c r="AD842" s="40"/>
      <c r="AE842" s="40"/>
    </row>
    <row r="843" spans="1:31" x14ac:dyDescent="0.25">
      <c r="A843" s="2"/>
      <c r="B843" s="1"/>
      <c r="C843" s="22">
        <v>783</v>
      </c>
      <c r="D843" s="34">
        <f t="shared" si="64"/>
        <v>7.83</v>
      </c>
      <c r="E843" s="30">
        <f t="shared" si="61"/>
        <v>0</v>
      </c>
      <c r="F843" s="31">
        <f t="shared" si="62"/>
        <v>0</v>
      </c>
      <c r="G843" s="32">
        <f t="shared" si="63"/>
        <v>7.6628352490421436E-2</v>
      </c>
      <c r="H843" s="34">
        <f t="shared" si="60"/>
        <v>7.6628352490421436E-2</v>
      </c>
      <c r="I843" s="42"/>
      <c r="J843" s="38"/>
      <c r="K843" s="38"/>
      <c r="L843" s="1"/>
      <c r="M843" s="1"/>
      <c r="N843" s="1"/>
      <c r="O843" s="39"/>
      <c r="P843" s="39"/>
      <c r="Q843" s="39"/>
      <c r="R843" s="39"/>
      <c r="S843" s="41"/>
      <c r="T843" s="41"/>
      <c r="U843" s="39"/>
      <c r="V843" s="39"/>
      <c r="W843" s="39"/>
      <c r="X843" s="39"/>
      <c r="Y843" s="39"/>
      <c r="Z843" s="39"/>
      <c r="AA843" s="39"/>
      <c r="AB843" s="39"/>
      <c r="AC843" s="39"/>
      <c r="AD843" s="40"/>
      <c r="AE843" s="40"/>
    </row>
    <row r="844" spans="1:31" x14ac:dyDescent="0.25">
      <c r="A844" s="2"/>
      <c r="B844" s="1"/>
      <c r="C844" s="22">
        <v>784</v>
      </c>
      <c r="D844" s="34">
        <f t="shared" si="64"/>
        <v>7.84</v>
      </c>
      <c r="E844" s="30">
        <f t="shared" si="61"/>
        <v>0</v>
      </c>
      <c r="F844" s="31">
        <f t="shared" si="62"/>
        <v>0</v>
      </c>
      <c r="G844" s="32">
        <f t="shared" si="63"/>
        <v>7.6530612244897947E-2</v>
      </c>
      <c r="H844" s="34">
        <f t="shared" si="60"/>
        <v>7.6530612244897947E-2</v>
      </c>
      <c r="I844" s="42"/>
      <c r="J844" s="38"/>
      <c r="K844" s="38"/>
      <c r="L844" s="1"/>
      <c r="M844" s="1"/>
      <c r="N844" s="1"/>
      <c r="O844" s="39"/>
      <c r="P844" s="39"/>
      <c r="Q844" s="39"/>
      <c r="R844" s="39"/>
      <c r="S844" s="41"/>
      <c r="T844" s="41"/>
      <c r="U844" s="39"/>
      <c r="V844" s="39"/>
      <c r="W844" s="39"/>
      <c r="X844" s="39"/>
      <c r="Y844" s="39"/>
      <c r="Z844" s="39"/>
      <c r="AA844" s="39"/>
      <c r="AB844" s="39"/>
      <c r="AC844" s="39"/>
      <c r="AD844" s="40"/>
      <c r="AE844" s="40"/>
    </row>
    <row r="845" spans="1:31" x14ac:dyDescent="0.25">
      <c r="A845" s="2"/>
      <c r="B845" s="1"/>
      <c r="C845" s="22">
        <v>785</v>
      </c>
      <c r="D845" s="34">
        <f t="shared" si="64"/>
        <v>7.8500000000000005</v>
      </c>
      <c r="E845" s="30">
        <f t="shared" si="61"/>
        <v>0</v>
      </c>
      <c r="F845" s="31">
        <f t="shared" si="62"/>
        <v>0</v>
      </c>
      <c r="G845" s="32">
        <f t="shared" si="63"/>
        <v>7.6433121019108263E-2</v>
      </c>
      <c r="H845" s="34">
        <f t="shared" si="60"/>
        <v>7.6433121019108263E-2</v>
      </c>
      <c r="I845" s="42"/>
      <c r="J845" s="38"/>
      <c r="K845" s="38"/>
      <c r="L845" s="1"/>
      <c r="M845" s="1"/>
      <c r="N845" s="1"/>
      <c r="O845" s="39"/>
      <c r="P845" s="39"/>
      <c r="Q845" s="39"/>
      <c r="R845" s="39"/>
      <c r="S845" s="41"/>
      <c r="T845" s="41"/>
      <c r="U845" s="39"/>
      <c r="V845" s="39"/>
      <c r="W845" s="39"/>
      <c r="X845" s="39"/>
      <c r="Y845" s="39"/>
      <c r="Z845" s="39"/>
      <c r="AA845" s="39"/>
      <c r="AB845" s="39"/>
      <c r="AC845" s="39"/>
      <c r="AD845" s="40"/>
      <c r="AE845" s="40"/>
    </row>
    <row r="846" spans="1:31" x14ac:dyDescent="0.25">
      <c r="A846" s="2"/>
      <c r="B846" s="1"/>
      <c r="C846" s="22">
        <v>786</v>
      </c>
      <c r="D846" s="34">
        <f t="shared" si="64"/>
        <v>7.86</v>
      </c>
      <c r="E846" s="30">
        <f t="shared" si="61"/>
        <v>0</v>
      </c>
      <c r="F846" s="31">
        <f t="shared" si="62"/>
        <v>0</v>
      </c>
      <c r="G846" s="32">
        <f t="shared" si="63"/>
        <v>7.6335877862595394E-2</v>
      </c>
      <c r="H846" s="34">
        <f t="shared" si="60"/>
        <v>7.6335877862595394E-2</v>
      </c>
      <c r="I846" s="42"/>
      <c r="J846" s="38"/>
      <c r="K846" s="38"/>
      <c r="L846" s="1"/>
      <c r="M846" s="1"/>
      <c r="N846" s="1"/>
      <c r="O846" s="39"/>
      <c r="P846" s="39"/>
      <c r="Q846" s="39"/>
      <c r="R846" s="39"/>
      <c r="S846" s="41"/>
      <c r="T846" s="41"/>
      <c r="U846" s="39"/>
      <c r="V846" s="39"/>
      <c r="W846" s="39"/>
      <c r="X846" s="39"/>
      <c r="Y846" s="39"/>
      <c r="Z846" s="39"/>
      <c r="AA846" s="39"/>
      <c r="AB846" s="39"/>
      <c r="AC846" s="39"/>
      <c r="AD846" s="40"/>
      <c r="AE846" s="40"/>
    </row>
    <row r="847" spans="1:31" x14ac:dyDescent="0.25">
      <c r="A847" s="2"/>
      <c r="B847" s="1"/>
      <c r="C847" s="22">
        <v>787</v>
      </c>
      <c r="D847" s="34">
        <f t="shared" si="64"/>
        <v>7.87</v>
      </c>
      <c r="E847" s="30">
        <f t="shared" si="61"/>
        <v>0</v>
      </c>
      <c r="F847" s="31">
        <f t="shared" si="62"/>
        <v>0</v>
      </c>
      <c r="G847" s="32">
        <f t="shared" si="63"/>
        <v>7.6238881829733152E-2</v>
      </c>
      <c r="H847" s="34">
        <f t="shared" si="60"/>
        <v>7.6238881829733152E-2</v>
      </c>
      <c r="I847" s="42"/>
      <c r="J847" s="38"/>
      <c r="K847" s="38"/>
      <c r="L847" s="1"/>
      <c r="M847" s="1"/>
      <c r="N847" s="1"/>
      <c r="O847" s="39"/>
      <c r="P847" s="39"/>
      <c r="Q847" s="39"/>
      <c r="R847" s="39"/>
      <c r="S847" s="41"/>
      <c r="T847" s="41"/>
      <c r="U847" s="39"/>
      <c r="V847" s="39"/>
      <c r="W847" s="39"/>
      <c r="X847" s="39"/>
      <c r="Y847" s="39"/>
      <c r="Z847" s="39"/>
      <c r="AA847" s="39"/>
      <c r="AB847" s="39"/>
      <c r="AC847" s="39"/>
      <c r="AD847" s="40"/>
      <c r="AE847" s="40"/>
    </row>
    <row r="848" spans="1:31" x14ac:dyDescent="0.25">
      <c r="A848" s="2"/>
      <c r="B848" s="1"/>
      <c r="C848" s="22">
        <v>788</v>
      </c>
      <c r="D848" s="34">
        <f t="shared" si="64"/>
        <v>7.88</v>
      </c>
      <c r="E848" s="30">
        <f t="shared" si="61"/>
        <v>0</v>
      </c>
      <c r="F848" s="31">
        <f t="shared" si="62"/>
        <v>0</v>
      </c>
      <c r="G848" s="32">
        <f t="shared" si="63"/>
        <v>7.614213197969541E-2</v>
      </c>
      <c r="H848" s="34">
        <f t="shared" si="60"/>
        <v>7.614213197969541E-2</v>
      </c>
      <c r="I848" s="42"/>
      <c r="J848" s="38"/>
      <c r="K848" s="38"/>
      <c r="L848" s="1"/>
      <c r="M848" s="1"/>
      <c r="N848" s="1"/>
      <c r="O848" s="39"/>
      <c r="P848" s="39"/>
      <c r="Q848" s="39"/>
      <c r="R848" s="39"/>
      <c r="S848" s="41"/>
      <c r="T848" s="41"/>
      <c r="U848" s="39"/>
      <c r="V848" s="39"/>
      <c r="W848" s="39"/>
      <c r="X848" s="39"/>
      <c r="Y848" s="39"/>
      <c r="Z848" s="39"/>
      <c r="AA848" s="39"/>
      <c r="AB848" s="39"/>
      <c r="AC848" s="39"/>
      <c r="AD848" s="40"/>
      <c r="AE848" s="40"/>
    </row>
    <row r="849" spans="1:31" x14ac:dyDescent="0.25">
      <c r="A849" s="2"/>
      <c r="B849" s="1"/>
      <c r="C849" s="22">
        <v>789</v>
      </c>
      <c r="D849" s="34">
        <f t="shared" si="64"/>
        <v>7.8900000000000006</v>
      </c>
      <c r="E849" s="30">
        <f t="shared" si="61"/>
        <v>0</v>
      </c>
      <c r="F849" s="31">
        <f t="shared" si="62"/>
        <v>0</v>
      </c>
      <c r="G849" s="32">
        <f t="shared" si="63"/>
        <v>7.6045627376425839E-2</v>
      </c>
      <c r="H849" s="34">
        <f t="shared" si="60"/>
        <v>7.6045627376425839E-2</v>
      </c>
      <c r="I849" s="42"/>
      <c r="J849" s="38"/>
      <c r="K849" s="38"/>
      <c r="L849" s="1"/>
      <c r="M849" s="1"/>
      <c r="N849" s="1"/>
      <c r="O849" s="39"/>
      <c r="P849" s="39"/>
      <c r="Q849" s="39"/>
      <c r="R849" s="39"/>
      <c r="S849" s="41"/>
      <c r="T849" s="41"/>
      <c r="U849" s="39"/>
      <c r="V849" s="39"/>
      <c r="W849" s="39"/>
      <c r="X849" s="39"/>
      <c r="Y849" s="39"/>
      <c r="Z849" s="39"/>
      <c r="AA849" s="39"/>
      <c r="AB849" s="39"/>
      <c r="AC849" s="39"/>
      <c r="AD849" s="40"/>
      <c r="AE849" s="40"/>
    </row>
    <row r="850" spans="1:31" x14ac:dyDescent="0.25">
      <c r="A850" s="2"/>
      <c r="B850" s="1"/>
      <c r="C850" s="22">
        <v>790</v>
      </c>
      <c r="D850" s="34">
        <f t="shared" si="64"/>
        <v>7.9</v>
      </c>
      <c r="E850" s="30">
        <f t="shared" si="61"/>
        <v>0</v>
      </c>
      <c r="F850" s="31">
        <f t="shared" si="62"/>
        <v>0</v>
      </c>
      <c r="G850" s="32">
        <f t="shared" si="63"/>
        <v>7.5949367088607569E-2</v>
      </c>
      <c r="H850" s="34">
        <f t="shared" si="60"/>
        <v>7.5949367088607569E-2</v>
      </c>
      <c r="I850" s="42"/>
      <c r="J850" s="38"/>
      <c r="K850" s="38"/>
      <c r="L850" s="1"/>
      <c r="M850" s="1"/>
      <c r="N850" s="1"/>
      <c r="O850" s="39"/>
      <c r="P850" s="39"/>
      <c r="Q850" s="39"/>
      <c r="R850" s="39"/>
      <c r="S850" s="41"/>
      <c r="T850" s="41"/>
      <c r="U850" s="39"/>
      <c r="V850" s="39"/>
      <c r="W850" s="39"/>
      <c r="X850" s="39"/>
      <c r="Y850" s="39"/>
      <c r="Z850" s="39"/>
      <c r="AA850" s="39"/>
      <c r="AB850" s="39"/>
      <c r="AC850" s="39"/>
      <c r="AD850" s="40"/>
      <c r="AE850" s="40"/>
    </row>
    <row r="851" spans="1:31" x14ac:dyDescent="0.25">
      <c r="A851" s="2"/>
      <c r="B851" s="1"/>
      <c r="C851" s="22">
        <v>791</v>
      </c>
      <c r="D851" s="34">
        <f t="shared" si="64"/>
        <v>7.91</v>
      </c>
      <c r="E851" s="30">
        <f t="shared" si="61"/>
        <v>0</v>
      </c>
      <c r="F851" s="31">
        <f t="shared" si="62"/>
        <v>0</v>
      </c>
      <c r="G851" s="32">
        <f t="shared" si="63"/>
        <v>7.5853350189633351E-2</v>
      </c>
      <c r="H851" s="34">
        <f t="shared" si="60"/>
        <v>7.5853350189633351E-2</v>
      </c>
      <c r="I851" s="42"/>
      <c r="J851" s="38"/>
      <c r="K851" s="38"/>
      <c r="L851" s="1"/>
      <c r="M851" s="1"/>
      <c r="N851" s="1"/>
      <c r="O851" s="39"/>
      <c r="P851" s="39"/>
      <c r="Q851" s="39"/>
      <c r="R851" s="39"/>
      <c r="S851" s="41"/>
      <c r="T851" s="41"/>
      <c r="U851" s="39"/>
      <c r="V851" s="39"/>
      <c r="W851" s="39"/>
      <c r="X851" s="39"/>
      <c r="Y851" s="39"/>
      <c r="Z851" s="39"/>
      <c r="AA851" s="39"/>
      <c r="AB851" s="39"/>
      <c r="AC851" s="39"/>
      <c r="AD851" s="40"/>
      <c r="AE851" s="40"/>
    </row>
    <row r="852" spans="1:31" x14ac:dyDescent="0.25">
      <c r="A852" s="2"/>
      <c r="B852" s="1"/>
      <c r="C852" s="22">
        <v>792</v>
      </c>
      <c r="D852" s="34">
        <f t="shared" si="64"/>
        <v>7.92</v>
      </c>
      <c r="E852" s="30">
        <f t="shared" si="61"/>
        <v>0</v>
      </c>
      <c r="F852" s="31">
        <f t="shared" si="62"/>
        <v>0</v>
      </c>
      <c r="G852" s="32">
        <f t="shared" si="63"/>
        <v>7.5757575757575746E-2</v>
      </c>
      <c r="H852" s="34">
        <f t="shared" si="60"/>
        <v>7.5757575757575746E-2</v>
      </c>
      <c r="I852" s="42"/>
      <c r="J852" s="38"/>
      <c r="K852" s="38"/>
      <c r="L852" s="1"/>
      <c r="M852" s="1"/>
      <c r="N852" s="1"/>
      <c r="O852" s="39"/>
      <c r="P852" s="39"/>
      <c r="Q852" s="39"/>
      <c r="R852" s="39"/>
      <c r="S852" s="41"/>
      <c r="T852" s="41"/>
      <c r="U852" s="39"/>
      <c r="V852" s="39"/>
      <c r="W852" s="39"/>
      <c r="X852" s="39"/>
      <c r="Y852" s="39"/>
      <c r="Z852" s="39"/>
      <c r="AA852" s="39"/>
      <c r="AB852" s="39"/>
      <c r="AC852" s="39"/>
      <c r="AD852" s="40"/>
      <c r="AE852" s="40"/>
    </row>
    <row r="853" spans="1:31" x14ac:dyDescent="0.25">
      <c r="A853" s="2"/>
      <c r="B853" s="1"/>
      <c r="C853" s="22">
        <v>793</v>
      </c>
      <c r="D853" s="34">
        <f t="shared" si="64"/>
        <v>7.9300000000000006</v>
      </c>
      <c r="E853" s="30">
        <f t="shared" si="61"/>
        <v>0</v>
      </c>
      <c r="F853" s="31">
        <f t="shared" si="62"/>
        <v>0</v>
      </c>
      <c r="G853" s="32">
        <f t="shared" si="63"/>
        <v>7.5662042875157612E-2</v>
      </c>
      <c r="H853" s="34">
        <f t="shared" si="60"/>
        <v>7.5662042875157612E-2</v>
      </c>
      <c r="I853" s="42"/>
      <c r="J853" s="38"/>
      <c r="K853" s="38"/>
      <c r="L853" s="1"/>
      <c r="M853" s="1"/>
      <c r="N853" s="1"/>
      <c r="O853" s="39"/>
      <c r="P853" s="39"/>
      <c r="Q853" s="39"/>
      <c r="R853" s="39"/>
      <c r="S853" s="41"/>
      <c r="T853" s="41"/>
      <c r="U853" s="39"/>
      <c r="V853" s="39"/>
      <c r="W853" s="39"/>
      <c r="X853" s="39"/>
      <c r="Y853" s="39"/>
      <c r="Z853" s="39"/>
      <c r="AA853" s="39"/>
      <c r="AB853" s="39"/>
      <c r="AC853" s="39"/>
      <c r="AD853" s="40"/>
      <c r="AE853" s="40"/>
    </row>
    <row r="854" spans="1:31" x14ac:dyDescent="0.25">
      <c r="A854" s="2"/>
      <c r="B854" s="1"/>
      <c r="C854" s="22">
        <v>794</v>
      </c>
      <c r="D854" s="34">
        <f t="shared" si="64"/>
        <v>7.94</v>
      </c>
      <c r="E854" s="30">
        <f t="shared" si="61"/>
        <v>0</v>
      </c>
      <c r="F854" s="31">
        <f t="shared" si="62"/>
        <v>0</v>
      </c>
      <c r="G854" s="32">
        <f t="shared" si="63"/>
        <v>7.5566750629722901E-2</v>
      </c>
      <c r="H854" s="34">
        <f t="shared" si="60"/>
        <v>7.5566750629722901E-2</v>
      </c>
      <c r="I854" s="42"/>
      <c r="J854" s="38"/>
      <c r="K854" s="38"/>
      <c r="L854" s="1"/>
      <c r="M854" s="1"/>
      <c r="N854" s="1"/>
      <c r="O854" s="39"/>
      <c r="P854" s="39"/>
      <c r="Q854" s="39"/>
      <c r="R854" s="39"/>
      <c r="S854" s="41"/>
      <c r="T854" s="41"/>
      <c r="U854" s="39"/>
      <c r="V854" s="39"/>
      <c r="W854" s="39"/>
      <c r="X854" s="39"/>
      <c r="Y854" s="39"/>
      <c r="Z854" s="39"/>
      <c r="AA854" s="39"/>
      <c r="AB854" s="39"/>
      <c r="AC854" s="39"/>
      <c r="AD854" s="40"/>
      <c r="AE854" s="40"/>
    </row>
    <row r="855" spans="1:31" x14ac:dyDescent="0.25">
      <c r="A855" s="2"/>
      <c r="B855" s="1"/>
      <c r="C855" s="22">
        <v>795</v>
      </c>
      <c r="D855" s="34">
        <f t="shared" si="64"/>
        <v>7.95</v>
      </c>
      <c r="E855" s="30">
        <f t="shared" si="61"/>
        <v>0</v>
      </c>
      <c r="F855" s="31">
        <f t="shared" si="62"/>
        <v>0</v>
      </c>
      <c r="G855" s="32">
        <f t="shared" si="63"/>
        <v>7.547169811320753E-2</v>
      </c>
      <c r="H855" s="34">
        <f t="shared" si="60"/>
        <v>7.547169811320753E-2</v>
      </c>
      <c r="I855" s="42"/>
      <c r="J855" s="38"/>
      <c r="K855" s="38"/>
      <c r="L855" s="1"/>
      <c r="M855" s="1"/>
      <c r="N855" s="1"/>
      <c r="O855" s="39"/>
      <c r="P855" s="39"/>
      <c r="Q855" s="39"/>
      <c r="R855" s="39"/>
      <c r="S855" s="41"/>
      <c r="T855" s="41"/>
      <c r="U855" s="39"/>
      <c r="V855" s="39"/>
      <c r="W855" s="39"/>
      <c r="X855" s="39"/>
      <c r="Y855" s="39"/>
      <c r="Z855" s="39"/>
      <c r="AA855" s="39"/>
      <c r="AB855" s="39"/>
      <c r="AC855" s="39"/>
      <c r="AD855" s="40"/>
      <c r="AE855" s="40"/>
    </row>
    <row r="856" spans="1:31" x14ac:dyDescent="0.25">
      <c r="A856" s="2"/>
      <c r="B856" s="1"/>
      <c r="C856" s="22">
        <v>796</v>
      </c>
      <c r="D856" s="34">
        <f t="shared" si="64"/>
        <v>7.96</v>
      </c>
      <c r="E856" s="30">
        <f t="shared" si="61"/>
        <v>0</v>
      </c>
      <c r="F856" s="31">
        <f t="shared" si="62"/>
        <v>0</v>
      </c>
      <c r="G856" s="32">
        <f t="shared" si="63"/>
        <v>7.5376884422110532E-2</v>
      </c>
      <c r="H856" s="34">
        <f t="shared" si="60"/>
        <v>7.5376884422110532E-2</v>
      </c>
      <c r="I856" s="42"/>
      <c r="J856" s="38"/>
      <c r="K856" s="38"/>
      <c r="L856" s="1"/>
      <c r="M856" s="1"/>
      <c r="N856" s="1"/>
      <c r="O856" s="39"/>
      <c r="P856" s="39"/>
      <c r="Q856" s="39"/>
      <c r="R856" s="39"/>
      <c r="S856" s="41"/>
      <c r="T856" s="41"/>
      <c r="U856" s="39"/>
      <c r="V856" s="39"/>
      <c r="W856" s="39"/>
      <c r="X856" s="39"/>
      <c r="Y856" s="39"/>
      <c r="Z856" s="39"/>
      <c r="AA856" s="39"/>
      <c r="AB856" s="39"/>
      <c r="AC856" s="39"/>
      <c r="AD856" s="40"/>
      <c r="AE856" s="40"/>
    </row>
    <row r="857" spans="1:31" x14ac:dyDescent="0.25">
      <c r="A857" s="2"/>
      <c r="B857" s="1"/>
      <c r="C857" s="22">
        <v>797</v>
      </c>
      <c r="D857" s="34">
        <f t="shared" si="64"/>
        <v>7.97</v>
      </c>
      <c r="E857" s="30">
        <f t="shared" si="61"/>
        <v>0</v>
      </c>
      <c r="F857" s="31">
        <f t="shared" si="62"/>
        <v>0</v>
      </c>
      <c r="G857" s="32">
        <f t="shared" si="63"/>
        <v>7.5282308657465477E-2</v>
      </c>
      <c r="H857" s="34">
        <f t="shared" si="60"/>
        <v>7.5282308657465477E-2</v>
      </c>
      <c r="I857" s="42"/>
      <c r="J857" s="38"/>
      <c r="K857" s="38"/>
      <c r="L857" s="1"/>
      <c r="M857" s="1"/>
      <c r="N857" s="1"/>
      <c r="O857" s="39"/>
      <c r="P857" s="39"/>
      <c r="Q857" s="39"/>
      <c r="R857" s="39"/>
      <c r="S857" s="41"/>
      <c r="T857" s="41"/>
      <c r="U857" s="39"/>
      <c r="V857" s="39"/>
      <c r="W857" s="39"/>
      <c r="X857" s="39"/>
      <c r="Y857" s="39"/>
      <c r="Z857" s="39"/>
      <c r="AA857" s="39"/>
      <c r="AB857" s="39"/>
      <c r="AC857" s="39"/>
      <c r="AD857" s="40"/>
      <c r="AE857" s="40"/>
    </row>
    <row r="858" spans="1:31" x14ac:dyDescent="0.25">
      <c r="A858" s="2"/>
      <c r="B858" s="1"/>
      <c r="C858" s="22">
        <v>798</v>
      </c>
      <c r="D858" s="34">
        <f t="shared" si="64"/>
        <v>7.98</v>
      </c>
      <c r="E858" s="30">
        <f t="shared" si="61"/>
        <v>0</v>
      </c>
      <c r="F858" s="31">
        <f t="shared" si="62"/>
        <v>0</v>
      </c>
      <c r="G858" s="32">
        <f t="shared" si="63"/>
        <v>7.5187969924812012E-2</v>
      </c>
      <c r="H858" s="34">
        <f t="shared" si="60"/>
        <v>7.5187969924812012E-2</v>
      </c>
      <c r="I858" s="42"/>
      <c r="J858" s="38"/>
      <c r="K858" s="38"/>
      <c r="L858" s="1"/>
      <c r="M858" s="1"/>
      <c r="N858" s="1"/>
      <c r="O858" s="39"/>
      <c r="P858" s="39"/>
      <c r="Q858" s="39"/>
      <c r="R858" s="39"/>
      <c r="S858" s="41"/>
      <c r="T858" s="41"/>
      <c r="U858" s="39"/>
      <c r="V858" s="39"/>
      <c r="W858" s="39"/>
      <c r="X858" s="39"/>
      <c r="Y858" s="39"/>
      <c r="Z858" s="39"/>
      <c r="AA858" s="39"/>
      <c r="AB858" s="39"/>
      <c r="AC858" s="39"/>
      <c r="AD858" s="40"/>
      <c r="AE858" s="40"/>
    </row>
    <row r="859" spans="1:31" x14ac:dyDescent="0.25">
      <c r="A859" s="2"/>
      <c r="B859" s="1"/>
      <c r="C859" s="22">
        <v>799</v>
      </c>
      <c r="D859" s="34">
        <f t="shared" si="64"/>
        <v>7.99</v>
      </c>
      <c r="E859" s="30">
        <f t="shared" si="61"/>
        <v>0</v>
      </c>
      <c r="F859" s="31">
        <f t="shared" si="62"/>
        <v>0</v>
      </c>
      <c r="G859" s="32">
        <f t="shared" si="63"/>
        <v>7.5093867334167688E-2</v>
      </c>
      <c r="H859" s="34">
        <f t="shared" si="60"/>
        <v>7.5093867334167688E-2</v>
      </c>
      <c r="I859" s="42"/>
      <c r="J859" s="38"/>
      <c r="K859" s="38"/>
      <c r="L859" s="1"/>
      <c r="M859" s="1"/>
      <c r="N859" s="1"/>
      <c r="O859" s="39"/>
      <c r="P859" s="39"/>
      <c r="Q859" s="39"/>
      <c r="R859" s="39"/>
      <c r="S859" s="41"/>
      <c r="T859" s="41"/>
      <c r="U859" s="39"/>
      <c r="V859" s="39"/>
      <c r="W859" s="39"/>
      <c r="X859" s="39"/>
      <c r="Y859" s="39"/>
      <c r="Z859" s="39"/>
      <c r="AA859" s="39"/>
      <c r="AB859" s="39"/>
      <c r="AC859" s="39"/>
      <c r="AD859" s="40"/>
      <c r="AE859" s="40"/>
    </row>
    <row r="860" spans="1:31" ht="15.75" thickBot="1" x14ac:dyDescent="0.3">
      <c r="A860" s="2"/>
      <c r="B860" s="1"/>
      <c r="C860" s="29">
        <v>800</v>
      </c>
      <c r="D860" s="35">
        <f t="shared" si="64"/>
        <v>8</v>
      </c>
      <c r="E860" s="30">
        <f t="shared" si="61"/>
        <v>0</v>
      </c>
      <c r="F860" s="31">
        <f t="shared" si="62"/>
        <v>0</v>
      </c>
      <c r="G860" s="32">
        <f t="shared" si="63"/>
        <v>7.4999999999999983E-2</v>
      </c>
      <c r="H860" s="35">
        <f t="shared" si="60"/>
        <v>7.4999999999999983E-2</v>
      </c>
      <c r="I860" s="42"/>
      <c r="J860" s="38"/>
      <c r="K860" s="38"/>
      <c r="L860" s="1"/>
      <c r="M860" s="1"/>
      <c r="N860" s="1"/>
      <c r="O860" s="39"/>
      <c r="P860" s="39"/>
      <c r="Q860" s="39"/>
      <c r="R860" s="39"/>
      <c r="S860" s="41"/>
      <c r="T860" s="41"/>
      <c r="U860" s="39"/>
      <c r="V860" s="39"/>
      <c r="W860" s="39"/>
      <c r="X860" s="39"/>
      <c r="Y860" s="39"/>
      <c r="Z860" s="39"/>
      <c r="AA860" s="39"/>
      <c r="AB860" s="39"/>
      <c r="AC860" s="39"/>
      <c r="AD860" s="40"/>
      <c r="AE860" s="40"/>
    </row>
    <row r="861" spans="1:31" x14ac:dyDescent="0.25">
      <c r="A861" s="2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9"/>
      <c r="P861" s="39"/>
      <c r="Q861" s="39"/>
      <c r="R861" s="39"/>
      <c r="S861" s="41"/>
      <c r="T861" s="41"/>
      <c r="U861" s="39"/>
      <c r="V861" s="39"/>
      <c r="W861" s="39"/>
      <c r="X861" s="39"/>
      <c r="Y861" s="39"/>
      <c r="Z861" s="39"/>
      <c r="AA861" s="39"/>
      <c r="AB861" s="39"/>
      <c r="AC861" s="39"/>
      <c r="AD861" s="40"/>
      <c r="AE861" s="40"/>
    </row>
    <row r="862" spans="1:31" x14ac:dyDescent="0.25">
      <c r="A862" s="2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9"/>
      <c r="P862" s="39"/>
      <c r="Q862" s="39"/>
      <c r="R862" s="39"/>
      <c r="S862" s="41"/>
      <c r="T862" s="41"/>
      <c r="U862" s="39"/>
      <c r="V862" s="39"/>
      <c r="W862" s="39"/>
      <c r="X862" s="39"/>
      <c r="Y862" s="39"/>
      <c r="Z862" s="39"/>
      <c r="AA862" s="39"/>
      <c r="AB862" s="39"/>
      <c r="AC862" s="39"/>
      <c r="AD862" s="40"/>
      <c r="AE862" s="40"/>
    </row>
    <row r="863" spans="1:31" x14ac:dyDescent="0.25">
      <c r="A863" s="2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9"/>
      <c r="P863" s="39"/>
      <c r="Q863" s="39"/>
      <c r="R863" s="39"/>
      <c r="S863" s="41"/>
      <c r="T863" s="41"/>
      <c r="U863" s="39"/>
      <c r="V863" s="39"/>
      <c r="W863" s="39"/>
      <c r="X863" s="39"/>
      <c r="Y863" s="39"/>
      <c r="Z863" s="39"/>
      <c r="AA863" s="39"/>
      <c r="AB863" s="39"/>
      <c r="AC863" s="39"/>
      <c r="AD863" s="40"/>
      <c r="AE863" s="40"/>
    </row>
    <row r="864" spans="1:3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9"/>
      <c r="P864" s="39"/>
      <c r="Q864" s="39"/>
      <c r="R864" s="39"/>
      <c r="S864" s="41"/>
      <c r="T864" s="41"/>
      <c r="U864" s="39"/>
      <c r="V864" s="39"/>
      <c r="W864" s="39"/>
      <c r="X864" s="39"/>
      <c r="Y864" s="39"/>
      <c r="Z864" s="39"/>
      <c r="AA864" s="39"/>
      <c r="AB864" s="39"/>
      <c r="AC864" s="39"/>
      <c r="AD864" s="40"/>
      <c r="AE864" s="40"/>
    </row>
    <row r="865" spans="1:31" x14ac:dyDescent="0.25">
      <c r="A865" s="1"/>
      <c r="B865" s="1"/>
      <c r="C865" s="1"/>
      <c r="D865" s="1"/>
      <c r="E865" s="1"/>
      <c r="F865" s="1"/>
      <c r="G865" s="1"/>
      <c r="H865" s="1"/>
      <c r="I865" s="12"/>
      <c r="J865" s="1"/>
      <c r="K865" s="1"/>
      <c r="L865" s="1"/>
      <c r="M865" s="1"/>
      <c r="N865" s="1"/>
      <c r="O865" s="39"/>
      <c r="P865" s="39"/>
      <c r="Q865" s="39"/>
      <c r="R865" s="39"/>
      <c r="S865" s="41"/>
      <c r="T865" s="41"/>
      <c r="U865" s="39"/>
      <c r="V865" s="39"/>
      <c r="W865" s="39"/>
      <c r="X865" s="39"/>
      <c r="Y865" s="39"/>
      <c r="Z865" s="39"/>
      <c r="AA865" s="39"/>
      <c r="AB865" s="39"/>
      <c r="AC865" s="39"/>
      <c r="AD865" s="40"/>
      <c r="AE865" s="40"/>
    </row>
    <row r="866" spans="1:31" x14ac:dyDescent="0.25">
      <c r="A866" s="1"/>
      <c r="B866" s="1"/>
      <c r="C866" s="1"/>
      <c r="D866" s="1"/>
      <c r="E866" s="1"/>
      <c r="F866" s="1"/>
      <c r="G866" s="1"/>
      <c r="H866" s="1"/>
      <c r="I866" s="12"/>
      <c r="J866" s="1"/>
      <c r="K866" s="1"/>
      <c r="L866" s="1"/>
      <c r="M866" s="1"/>
      <c r="N866" s="1"/>
      <c r="O866" s="39"/>
      <c r="P866" s="39"/>
      <c r="Q866" s="39"/>
      <c r="R866" s="39"/>
      <c r="S866" s="41"/>
      <c r="T866" s="41"/>
      <c r="U866" s="39"/>
      <c r="V866" s="39"/>
      <c r="W866" s="39"/>
      <c r="X866" s="39"/>
      <c r="Y866" s="39"/>
      <c r="Z866" s="39"/>
      <c r="AA866" s="39"/>
      <c r="AB866" s="39"/>
      <c r="AC866" s="39"/>
      <c r="AD866" s="40"/>
      <c r="AE866" s="40"/>
    </row>
    <row r="867" spans="1:31" x14ac:dyDescent="0.25">
      <c r="A867" s="1"/>
      <c r="B867" s="1"/>
      <c r="C867" s="1"/>
      <c r="D867" s="1"/>
      <c r="E867" s="1"/>
      <c r="F867" s="1"/>
      <c r="G867" s="1"/>
      <c r="H867" s="1"/>
      <c r="I867" s="12"/>
      <c r="J867" s="1"/>
      <c r="K867" s="1"/>
      <c r="L867" s="1"/>
      <c r="M867" s="1"/>
      <c r="N867" s="1"/>
      <c r="O867" s="39"/>
      <c r="P867" s="39"/>
      <c r="Q867" s="39"/>
      <c r="R867" s="39"/>
      <c r="S867" s="41"/>
      <c r="T867" s="41"/>
      <c r="U867" s="39"/>
      <c r="V867" s="39"/>
      <c r="W867" s="39"/>
      <c r="X867" s="39"/>
      <c r="Y867" s="39"/>
      <c r="Z867" s="39"/>
      <c r="AA867" s="39"/>
      <c r="AB867" s="39"/>
      <c r="AC867" s="39"/>
      <c r="AD867" s="40"/>
      <c r="AE867" s="40"/>
    </row>
    <row r="868" spans="1:31" x14ac:dyDescent="0.25">
      <c r="A868" s="1"/>
      <c r="B868" s="1"/>
      <c r="C868" s="1"/>
      <c r="D868" s="1"/>
      <c r="E868" s="1"/>
      <c r="F868" s="1"/>
      <c r="G868" s="1"/>
      <c r="H868" s="1"/>
      <c r="I868" s="12"/>
      <c r="J868" s="1"/>
      <c r="K868" s="1"/>
      <c r="L868" s="1"/>
      <c r="M868" s="1"/>
      <c r="N868" s="1"/>
      <c r="O868" s="39"/>
      <c r="P868" s="39"/>
      <c r="Q868" s="39"/>
      <c r="R868" s="39"/>
      <c r="S868" s="41"/>
      <c r="T868" s="41"/>
      <c r="U868" s="39"/>
      <c r="V868" s="39"/>
      <c r="W868" s="39"/>
      <c r="X868" s="39"/>
      <c r="Y868" s="39"/>
      <c r="Z868" s="39"/>
      <c r="AA868" s="39"/>
      <c r="AB868" s="39"/>
      <c r="AC868" s="39"/>
      <c r="AD868" s="40"/>
      <c r="AE868" s="40"/>
    </row>
    <row r="869" spans="1:31" x14ac:dyDescent="0.25">
      <c r="A869" s="1"/>
      <c r="B869" s="1"/>
      <c r="C869" s="1"/>
      <c r="D869" s="1"/>
      <c r="E869" s="1"/>
      <c r="F869" s="1"/>
      <c r="G869" s="1"/>
      <c r="H869" s="1"/>
      <c r="I869" s="12"/>
      <c r="J869" s="1"/>
      <c r="K869" s="1"/>
      <c r="L869" s="1"/>
      <c r="M869" s="1"/>
      <c r="N869" s="1"/>
      <c r="O869" s="39"/>
      <c r="P869" s="39"/>
      <c r="Q869" s="39"/>
      <c r="R869" s="39"/>
      <c r="S869" s="41"/>
      <c r="T869" s="41"/>
      <c r="U869" s="39"/>
      <c r="V869" s="39"/>
      <c r="W869" s="39"/>
      <c r="X869" s="39"/>
      <c r="Y869" s="39"/>
      <c r="Z869" s="39"/>
      <c r="AA869" s="39"/>
      <c r="AB869" s="39"/>
      <c r="AC869" s="39"/>
      <c r="AD869" s="40"/>
      <c r="AE869" s="40"/>
    </row>
    <row r="870" spans="1:31" x14ac:dyDescent="0.25">
      <c r="A870" s="1"/>
      <c r="B870" s="1"/>
      <c r="C870" s="1"/>
      <c r="D870" s="1"/>
      <c r="E870" s="1"/>
      <c r="F870" s="1"/>
      <c r="G870" s="1"/>
      <c r="H870" s="1"/>
      <c r="I870" s="12"/>
      <c r="J870" s="1"/>
      <c r="K870" s="1"/>
      <c r="L870" s="1"/>
      <c r="M870" s="1"/>
      <c r="N870" s="1"/>
      <c r="O870" s="39"/>
      <c r="P870" s="39"/>
      <c r="Q870" s="39"/>
      <c r="R870" s="39"/>
      <c r="S870" s="41"/>
      <c r="T870" s="41"/>
      <c r="U870" s="39"/>
      <c r="V870" s="39"/>
      <c r="W870" s="39"/>
      <c r="X870" s="39"/>
      <c r="Y870" s="39"/>
      <c r="Z870" s="39"/>
      <c r="AA870" s="39"/>
      <c r="AB870" s="39"/>
      <c r="AC870" s="39"/>
      <c r="AD870" s="40"/>
      <c r="AE870" s="40"/>
    </row>
    <row r="871" spans="1:31" x14ac:dyDescent="0.25">
      <c r="A871" s="1"/>
      <c r="B871" s="1"/>
      <c r="C871" s="1"/>
      <c r="D871" s="1"/>
      <c r="E871" s="1"/>
      <c r="F871" s="1"/>
      <c r="G871" s="1"/>
      <c r="H871" s="1"/>
      <c r="I871" s="12"/>
      <c r="J871" s="1"/>
      <c r="K871" s="1"/>
      <c r="L871" s="1"/>
      <c r="M871" s="1"/>
      <c r="N871" s="1"/>
      <c r="O871" s="39"/>
      <c r="P871" s="39"/>
      <c r="Q871" s="39"/>
      <c r="R871" s="39"/>
      <c r="S871" s="41"/>
      <c r="T871" s="41"/>
      <c r="U871" s="39"/>
      <c r="V871" s="39"/>
      <c r="W871" s="39"/>
      <c r="X871" s="39"/>
      <c r="Y871" s="39"/>
      <c r="Z871" s="39"/>
      <c r="AA871" s="39"/>
      <c r="AB871" s="39"/>
      <c r="AC871" s="39"/>
      <c r="AD871" s="40"/>
      <c r="AE871" s="40"/>
    </row>
    <row r="872" spans="1:31" x14ac:dyDescent="0.25">
      <c r="A872" s="1"/>
      <c r="B872" s="1"/>
      <c r="C872" s="1"/>
      <c r="D872" s="1"/>
      <c r="E872" s="1"/>
      <c r="F872" s="1"/>
      <c r="G872" s="1"/>
      <c r="H872" s="1"/>
      <c r="I872" s="12"/>
      <c r="J872" s="1"/>
      <c r="K872" s="1"/>
      <c r="L872" s="1"/>
      <c r="M872" s="1"/>
      <c r="N872" s="1"/>
      <c r="O872" s="39"/>
      <c r="P872" s="39"/>
      <c r="Q872" s="39"/>
      <c r="R872" s="39"/>
      <c r="S872" s="41"/>
      <c r="T872" s="41"/>
      <c r="U872" s="39"/>
      <c r="V872" s="39"/>
      <c r="W872" s="39"/>
      <c r="X872" s="39"/>
      <c r="Y872" s="39"/>
      <c r="Z872" s="39"/>
      <c r="AA872" s="39"/>
      <c r="AB872" s="39"/>
      <c r="AC872" s="39"/>
      <c r="AD872" s="40"/>
      <c r="AE872" s="40"/>
    </row>
    <row r="873" spans="1:31" x14ac:dyDescent="0.25">
      <c r="A873" s="1"/>
      <c r="B873" s="1"/>
      <c r="C873" s="1"/>
      <c r="D873" s="1"/>
      <c r="E873" s="1"/>
      <c r="F873" s="1"/>
      <c r="G873" s="1"/>
      <c r="H873" s="1"/>
      <c r="I873" s="12"/>
      <c r="J873" s="1"/>
      <c r="K873" s="1"/>
      <c r="L873" s="1"/>
      <c r="M873" s="1"/>
      <c r="N873" s="1"/>
      <c r="O873" s="39"/>
      <c r="P873" s="39"/>
      <c r="Q873" s="39"/>
      <c r="R873" s="39"/>
      <c r="S873" s="41"/>
      <c r="T873" s="41"/>
      <c r="U873" s="39"/>
      <c r="V873" s="39"/>
      <c r="W873" s="39"/>
      <c r="X873" s="39"/>
      <c r="Y873" s="39"/>
      <c r="Z873" s="39"/>
      <c r="AA873" s="39"/>
      <c r="AB873" s="39"/>
      <c r="AC873" s="39"/>
      <c r="AD873" s="40"/>
      <c r="AE873" s="40"/>
    </row>
    <row r="874" spans="1:31" x14ac:dyDescent="0.25">
      <c r="A874" s="1"/>
      <c r="B874" s="1"/>
      <c r="C874" s="1"/>
      <c r="D874" s="1"/>
      <c r="E874" s="1"/>
      <c r="F874" s="1"/>
      <c r="G874" s="1"/>
      <c r="H874" s="1"/>
      <c r="I874" s="12"/>
      <c r="J874" s="1"/>
      <c r="K874" s="1"/>
      <c r="L874" s="1"/>
      <c r="M874" s="1"/>
      <c r="N874" s="1"/>
      <c r="O874" s="39"/>
      <c r="P874" s="39"/>
      <c r="Q874" s="39"/>
      <c r="R874" s="39"/>
      <c r="S874" s="41"/>
      <c r="T874" s="41"/>
      <c r="U874" s="39"/>
      <c r="V874" s="39"/>
      <c r="W874" s="39"/>
      <c r="X874" s="39"/>
      <c r="Y874" s="39"/>
      <c r="Z874" s="39"/>
      <c r="AA874" s="39"/>
      <c r="AB874" s="39"/>
      <c r="AC874" s="39"/>
      <c r="AD874" s="40"/>
      <c r="AE874" s="40"/>
    </row>
    <row r="875" spans="1:31" x14ac:dyDescent="0.25">
      <c r="A875" s="1"/>
      <c r="B875" s="1"/>
      <c r="C875" s="1"/>
      <c r="D875" s="1"/>
      <c r="E875" s="1"/>
      <c r="F875" s="1"/>
      <c r="G875" s="1"/>
      <c r="H875" s="1"/>
      <c r="I875" s="12"/>
      <c r="J875" s="1"/>
      <c r="K875" s="1"/>
      <c r="L875" s="1"/>
      <c r="M875" s="1"/>
      <c r="N875" s="1"/>
      <c r="O875" s="39"/>
      <c r="P875" s="39"/>
      <c r="Q875" s="39"/>
      <c r="R875" s="39"/>
      <c r="S875" s="41"/>
      <c r="T875" s="41"/>
      <c r="U875" s="39"/>
      <c r="V875" s="39"/>
      <c r="W875" s="39"/>
      <c r="X875" s="39"/>
      <c r="Y875" s="39"/>
      <c r="Z875" s="39"/>
      <c r="AA875" s="39"/>
      <c r="AB875" s="39"/>
      <c r="AC875" s="39"/>
      <c r="AD875" s="40"/>
      <c r="AE875" s="40"/>
    </row>
    <row r="876" spans="1:3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39"/>
      <c r="P876" s="39"/>
      <c r="Q876" s="39"/>
      <c r="R876" s="39"/>
      <c r="S876" s="41"/>
      <c r="T876" s="41"/>
      <c r="U876" s="39"/>
      <c r="V876" s="39"/>
      <c r="W876" s="39"/>
      <c r="X876" s="39"/>
      <c r="Y876" s="39"/>
      <c r="Z876" s="39"/>
      <c r="AA876" s="39"/>
      <c r="AB876" s="39"/>
      <c r="AC876" s="39"/>
      <c r="AD876" s="40"/>
      <c r="AE876" s="40"/>
    </row>
    <row r="877" spans="1:3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39"/>
      <c r="P877" s="39"/>
      <c r="Q877" s="39"/>
      <c r="R877" s="39"/>
      <c r="S877" s="41"/>
      <c r="T877" s="41"/>
      <c r="U877" s="39"/>
      <c r="V877" s="39"/>
      <c r="W877" s="39"/>
      <c r="X877" s="39"/>
      <c r="Y877" s="39"/>
      <c r="Z877" s="39"/>
      <c r="AA877" s="39"/>
      <c r="AB877" s="39"/>
      <c r="AC877" s="39"/>
      <c r="AD877" s="40"/>
      <c r="AE877" s="40"/>
    </row>
    <row r="878" spans="1:3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39"/>
      <c r="P878" s="39"/>
      <c r="Q878" s="39"/>
      <c r="R878" s="39"/>
      <c r="S878" s="41"/>
      <c r="T878" s="41"/>
      <c r="U878" s="39"/>
      <c r="V878" s="39"/>
      <c r="W878" s="39"/>
      <c r="X878" s="39"/>
      <c r="Y878" s="39"/>
      <c r="Z878" s="39"/>
      <c r="AA878" s="39"/>
      <c r="AB878" s="39"/>
      <c r="AC878" s="39"/>
      <c r="AD878" s="40"/>
      <c r="AE878" s="40"/>
    </row>
    <row r="879" spans="1:3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39"/>
      <c r="P879" s="39"/>
      <c r="Q879" s="39"/>
      <c r="R879" s="39"/>
      <c r="S879" s="41"/>
      <c r="T879" s="41"/>
      <c r="U879" s="39"/>
      <c r="V879" s="39"/>
      <c r="W879" s="39"/>
      <c r="X879" s="39"/>
      <c r="Y879" s="39"/>
      <c r="Z879" s="39"/>
      <c r="AA879" s="39"/>
      <c r="AB879" s="39"/>
      <c r="AC879" s="39"/>
      <c r="AD879" s="40"/>
      <c r="AE879" s="40"/>
    </row>
    <row r="880" spans="1:3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39"/>
      <c r="P880" s="39"/>
      <c r="Q880" s="39"/>
      <c r="R880" s="39"/>
      <c r="S880" s="41"/>
      <c r="T880" s="41"/>
      <c r="U880" s="39"/>
      <c r="V880" s="39"/>
      <c r="W880" s="39"/>
      <c r="X880" s="39"/>
      <c r="Y880" s="39"/>
      <c r="Z880" s="39"/>
      <c r="AA880" s="39"/>
      <c r="AB880" s="39"/>
      <c r="AC880" s="39"/>
      <c r="AD880" s="40"/>
      <c r="AE880" s="40"/>
    </row>
    <row r="881" spans="1:3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39"/>
      <c r="P881" s="39"/>
      <c r="Q881" s="39"/>
      <c r="R881" s="39"/>
      <c r="S881" s="41"/>
      <c r="T881" s="41"/>
      <c r="U881" s="39"/>
      <c r="V881" s="39"/>
      <c r="W881" s="39"/>
      <c r="X881" s="39"/>
      <c r="Y881" s="39"/>
      <c r="Z881" s="39"/>
      <c r="AA881" s="39"/>
      <c r="AB881" s="39"/>
      <c r="AC881" s="39"/>
      <c r="AD881" s="40"/>
      <c r="AE881" s="40"/>
    </row>
    <row r="882" spans="1:3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39"/>
      <c r="P882" s="39"/>
      <c r="Q882" s="39"/>
      <c r="R882" s="39"/>
      <c r="S882" s="41"/>
      <c r="T882" s="41"/>
      <c r="U882" s="39"/>
      <c r="V882" s="39"/>
      <c r="W882" s="39"/>
      <c r="X882" s="39"/>
      <c r="Y882" s="39"/>
      <c r="Z882" s="39"/>
      <c r="AA882" s="39"/>
      <c r="AB882" s="39"/>
      <c r="AC882" s="39"/>
      <c r="AD882" s="40"/>
      <c r="AE882" s="40"/>
    </row>
    <row r="883" spans="1:3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39"/>
      <c r="P883" s="39"/>
      <c r="Q883" s="39"/>
      <c r="R883" s="39"/>
      <c r="S883" s="41"/>
      <c r="T883" s="41"/>
      <c r="U883" s="39"/>
      <c r="V883" s="39"/>
      <c r="W883" s="39"/>
      <c r="X883" s="39"/>
      <c r="Y883" s="39"/>
      <c r="Z883" s="39"/>
      <c r="AA883" s="39"/>
      <c r="AB883" s="39"/>
      <c r="AC883" s="39"/>
      <c r="AD883" s="40"/>
      <c r="AE883" s="40"/>
    </row>
    <row r="884" spans="1:3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39"/>
      <c r="P884" s="39"/>
      <c r="Q884" s="39"/>
      <c r="R884" s="39"/>
      <c r="S884" s="41"/>
      <c r="T884" s="41"/>
      <c r="U884" s="39"/>
      <c r="V884" s="39"/>
      <c r="W884" s="39"/>
      <c r="X884" s="39"/>
      <c r="Y884" s="39"/>
      <c r="Z884" s="39"/>
      <c r="AA884" s="39"/>
      <c r="AB884" s="39"/>
      <c r="AC884" s="39"/>
      <c r="AD884" s="40"/>
      <c r="AE884" s="40"/>
    </row>
    <row r="885" spans="1:3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39"/>
      <c r="P885" s="39"/>
      <c r="Q885" s="39"/>
      <c r="R885" s="39"/>
      <c r="S885" s="41"/>
      <c r="T885" s="41"/>
      <c r="U885" s="39"/>
      <c r="V885" s="39"/>
      <c r="W885" s="39"/>
      <c r="X885" s="39"/>
      <c r="Y885" s="39"/>
      <c r="Z885" s="39"/>
      <c r="AA885" s="39"/>
      <c r="AB885" s="39"/>
      <c r="AC885" s="39"/>
      <c r="AD885" s="40"/>
      <c r="AE885" s="40"/>
    </row>
    <row r="886" spans="1:3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39"/>
      <c r="P886" s="39"/>
      <c r="Q886" s="39"/>
      <c r="R886" s="39"/>
      <c r="S886" s="41"/>
      <c r="T886" s="41"/>
      <c r="U886" s="39"/>
      <c r="V886" s="39"/>
      <c r="W886" s="39"/>
      <c r="X886" s="39"/>
      <c r="Y886" s="39"/>
      <c r="Z886" s="39"/>
      <c r="AA886" s="39"/>
      <c r="AB886" s="39"/>
      <c r="AC886" s="39"/>
      <c r="AD886" s="40"/>
      <c r="AE886" s="40"/>
    </row>
    <row r="887" spans="1:3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39"/>
      <c r="P887" s="39"/>
      <c r="Q887" s="39"/>
      <c r="R887" s="39"/>
      <c r="S887" s="41"/>
      <c r="T887" s="41"/>
      <c r="U887" s="39"/>
      <c r="V887" s="39"/>
      <c r="W887" s="39"/>
      <c r="X887" s="39"/>
      <c r="Y887" s="39"/>
      <c r="Z887" s="39"/>
      <c r="AA887" s="39"/>
      <c r="AB887" s="39"/>
      <c r="AC887" s="39"/>
      <c r="AD887" s="40"/>
      <c r="AE887" s="40"/>
    </row>
    <row r="888" spans="1:3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39"/>
      <c r="P888" s="39"/>
      <c r="Q888" s="39"/>
      <c r="R888" s="39"/>
      <c r="S888" s="41"/>
      <c r="T888" s="41"/>
      <c r="U888" s="39"/>
      <c r="V888" s="39"/>
      <c r="W888" s="39"/>
      <c r="X888" s="39"/>
      <c r="Y888" s="39"/>
      <c r="Z888" s="39"/>
      <c r="AA888" s="39"/>
      <c r="AB888" s="39"/>
      <c r="AC888" s="39"/>
      <c r="AD888" s="40"/>
      <c r="AE888" s="40"/>
    </row>
    <row r="889" spans="1:3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39"/>
      <c r="P889" s="39"/>
      <c r="Q889" s="39"/>
      <c r="R889" s="39"/>
      <c r="S889" s="41"/>
      <c r="T889" s="41"/>
      <c r="U889" s="39"/>
      <c r="V889" s="39"/>
      <c r="W889" s="39"/>
      <c r="X889" s="39"/>
      <c r="Y889" s="39"/>
      <c r="Z889" s="39"/>
      <c r="AA889" s="39"/>
      <c r="AB889" s="39"/>
      <c r="AC889" s="39"/>
      <c r="AD889" s="40"/>
      <c r="AE889" s="40"/>
    </row>
    <row r="890" spans="1:3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39"/>
      <c r="P890" s="39"/>
      <c r="Q890" s="39"/>
      <c r="R890" s="39"/>
      <c r="S890" s="41"/>
      <c r="T890" s="41"/>
      <c r="U890" s="39"/>
      <c r="V890" s="39"/>
      <c r="W890" s="39"/>
      <c r="X890" s="39"/>
      <c r="Y890" s="39"/>
      <c r="Z890" s="39"/>
      <c r="AA890" s="39"/>
      <c r="AB890" s="39"/>
      <c r="AC890" s="39"/>
      <c r="AD890" s="40"/>
      <c r="AE890" s="40"/>
    </row>
    <row r="891" spans="1:3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39"/>
      <c r="P891" s="39"/>
      <c r="Q891" s="39"/>
      <c r="R891" s="39"/>
      <c r="S891" s="41"/>
      <c r="T891" s="41"/>
      <c r="U891" s="39"/>
      <c r="V891" s="39"/>
      <c r="W891" s="39"/>
      <c r="X891" s="39"/>
      <c r="Y891" s="39"/>
      <c r="Z891" s="39"/>
      <c r="AA891" s="39"/>
      <c r="AB891" s="39"/>
      <c r="AC891" s="39"/>
      <c r="AD891" s="40"/>
      <c r="AE891" s="40"/>
    </row>
    <row r="892" spans="1:3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39"/>
      <c r="P892" s="39"/>
      <c r="Q892" s="39"/>
      <c r="R892" s="39"/>
      <c r="S892" s="41"/>
      <c r="T892" s="41"/>
      <c r="U892" s="39"/>
      <c r="V892" s="39"/>
      <c r="W892" s="39"/>
      <c r="X892" s="39"/>
      <c r="Y892" s="39"/>
      <c r="Z892" s="39"/>
      <c r="AA892" s="39"/>
      <c r="AB892" s="39"/>
      <c r="AC892" s="39"/>
      <c r="AD892" s="40"/>
      <c r="AE892" s="40"/>
    </row>
    <row r="893" spans="1:3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39"/>
      <c r="P893" s="39"/>
      <c r="Q893" s="39"/>
      <c r="R893" s="39"/>
      <c r="S893" s="41"/>
      <c r="T893" s="41"/>
      <c r="U893" s="39"/>
      <c r="V893" s="39"/>
      <c r="W893" s="39"/>
      <c r="X893" s="39"/>
      <c r="Y893" s="39"/>
      <c r="Z893" s="39"/>
      <c r="AA893" s="39"/>
      <c r="AB893" s="39"/>
      <c r="AC893" s="39"/>
      <c r="AD893" s="40"/>
      <c r="AE893" s="40"/>
    </row>
    <row r="894" spans="1:3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39"/>
      <c r="P894" s="39"/>
      <c r="Q894" s="39"/>
      <c r="R894" s="39"/>
      <c r="S894" s="41"/>
      <c r="T894" s="41"/>
      <c r="U894" s="39"/>
      <c r="V894" s="39"/>
      <c r="W894" s="39"/>
      <c r="X894" s="39"/>
      <c r="Y894" s="39"/>
      <c r="Z894" s="39"/>
      <c r="AA894" s="39"/>
      <c r="AB894" s="39"/>
      <c r="AC894" s="39"/>
      <c r="AD894" s="40"/>
      <c r="AE894" s="40"/>
    </row>
    <row r="895" spans="1:3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39"/>
      <c r="P895" s="39"/>
      <c r="Q895" s="39"/>
      <c r="R895" s="39"/>
      <c r="S895" s="41"/>
      <c r="T895" s="41"/>
      <c r="U895" s="39"/>
      <c r="V895" s="39"/>
      <c r="W895" s="39"/>
      <c r="X895" s="39"/>
      <c r="Y895" s="39"/>
      <c r="Z895" s="39"/>
      <c r="AA895" s="39"/>
      <c r="AB895" s="39"/>
      <c r="AC895" s="39"/>
      <c r="AD895" s="40"/>
      <c r="AE895" s="40"/>
    </row>
    <row r="896" spans="1:3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39"/>
      <c r="P896" s="39"/>
      <c r="Q896" s="39"/>
      <c r="R896" s="39"/>
      <c r="S896" s="41"/>
      <c r="T896" s="41"/>
      <c r="U896" s="39"/>
      <c r="V896" s="39"/>
      <c r="W896" s="39"/>
      <c r="X896" s="39"/>
      <c r="Y896" s="39"/>
      <c r="Z896" s="39"/>
      <c r="AA896" s="39"/>
      <c r="AB896" s="39"/>
      <c r="AC896" s="39"/>
      <c r="AD896" s="40"/>
      <c r="AE896" s="40"/>
    </row>
    <row r="897" spans="1:3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39"/>
      <c r="P897" s="39"/>
      <c r="Q897" s="39"/>
      <c r="R897" s="39"/>
      <c r="S897" s="41"/>
      <c r="T897" s="41"/>
      <c r="U897" s="39"/>
      <c r="V897" s="39"/>
      <c r="W897" s="39"/>
      <c r="X897" s="39"/>
      <c r="Y897" s="39"/>
      <c r="Z897" s="39"/>
      <c r="AA897" s="39"/>
      <c r="AB897" s="39"/>
      <c r="AC897" s="39"/>
      <c r="AD897" s="40"/>
      <c r="AE897" s="40"/>
    </row>
    <row r="898" spans="1:3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39"/>
      <c r="P898" s="39"/>
      <c r="Q898" s="39"/>
      <c r="R898" s="39"/>
      <c r="S898" s="41"/>
      <c r="T898" s="41"/>
      <c r="U898" s="39"/>
      <c r="V898" s="39"/>
      <c r="W898" s="39"/>
      <c r="X898" s="39"/>
      <c r="Y898" s="39"/>
      <c r="Z898" s="39"/>
      <c r="AA898" s="39"/>
      <c r="AB898" s="39"/>
      <c r="AC898" s="39"/>
      <c r="AD898" s="40"/>
      <c r="AE898" s="40"/>
    </row>
    <row r="899" spans="1:3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39"/>
      <c r="P899" s="39"/>
      <c r="Q899" s="39"/>
      <c r="R899" s="39"/>
      <c r="S899" s="41"/>
      <c r="T899" s="41"/>
      <c r="U899" s="39"/>
      <c r="V899" s="39"/>
      <c r="W899" s="39"/>
      <c r="X899" s="39"/>
      <c r="Y899" s="39"/>
      <c r="Z899" s="39"/>
      <c r="AA899" s="39"/>
      <c r="AB899" s="39"/>
      <c r="AC899" s="39"/>
      <c r="AD899" s="40"/>
      <c r="AE899" s="40"/>
    </row>
    <row r="900" spans="1:3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39"/>
      <c r="P900" s="39"/>
      <c r="Q900" s="39"/>
      <c r="R900" s="39"/>
      <c r="S900" s="41"/>
      <c r="T900" s="41"/>
      <c r="U900" s="39"/>
      <c r="V900" s="39"/>
      <c r="W900" s="39"/>
      <c r="X900" s="39"/>
      <c r="Y900" s="39"/>
      <c r="Z900" s="39"/>
      <c r="AA900" s="39"/>
      <c r="AB900" s="39"/>
      <c r="AC900" s="39"/>
      <c r="AD900" s="40"/>
      <c r="AE900" s="40"/>
    </row>
    <row r="901" spans="1:3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39"/>
      <c r="P901" s="39"/>
      <c r="Q901" s="39"/>
      <c r="R901" s="39"/>
      <c r="S901" s="41"/>
      <c r="T901" s="41"/>
      <c r="U901" s="39"/>
      <c r="V901" s="39"/>
      <c r="W901" s="39"/>
      <c r="X901" s="39"/>
      <c r="Y901" s="39"/>
      <c r="Z901" s="39"/>
      <c r="AA901" s="39"/>
      <c r="AB901" s="39"/>
      <c r="AC901" s="39"/>
      <c r="AD901" s="40"/>
      <c r="AE901" s="40"/>
    </row>
    <row r="902" spans="1:3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39"/>
      <c r="P902" s="39"/>
      <c r="Q902" s="39"/>
      <c r="R902" s="39"/>
      <c r="S902" s="41"/>
      <c r="T902" s="41"/>
      <c r="U902" s="39"/>
      <c r="V902" s="39"/>
      <c r="W902" s="39"/>
      <c r="X902" s="39"/>
      <c r="Y902" s="39"/>
      <c r="Z902" s="39"/>
      <c r="AA902" s="39"/>
      <c r="AB902" s="39"/>
      <c r="AC902" s="39"/>
      <c r="AD902" s="40"/>
      <c r="AE902" s="40"/>
    </row>
    <row r="903" spans="1:3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39"/>
      <c r="P903" s="39"/>
      <c r="Q903" s="39"/>
      <c r="R903" s="39"/>
      <c r="S903" s="41"/>
      <c r="T903" s="41"/>
      <c r="U903" s="39"/>
      <c r="V903" s="39"/>
      <c r="W903" s="39"/>
      <c r="X903" s="39"/>
      <c r="Y903" s="39"/>
      <c r="Z903" s="39"/>
      <c r="AA903" s="39"/>
      <c r="AB903" s="39"/>
      <c r="AC903" s="39"/>
      <c r="AD903" s="40"/>
      <c r="AE903" s="40"/>
    </row>
    <row r="904" spans="1:3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39"/>
      <c r="P904" s="39"/>
      <c r="Q904" s="39"/>
      <c r="R904" s="39"/>
      <c r="S904" s="41"/>
      <c r="T904" s="41"/>
      <c r="U904" s="39"/>
      <c r="V904" s="39"/>
      <c r="W904" s="39"/>
      <c r="X904" s="39"/>
      <c r="Y904" s="39"/>
      <c r="Z904" s="39"/>
      <c r="AA904" s="39"/>
      <c r="AB904" s="39"/>
      <c r="AC904" s="39"/>
      <c r="AD904" s="40"/>
      <c r="AE904" s="40"/>
    </row>
    <row r="905" spans="1:3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39"/>
      <c r="P905" s="39"/>
      <c r="Q905" s="39"/>
      <c r="R905" s="39"/>
      <c r="S905" s="41"/>
      <c r="T905" s="41"/>
      <c r="U905" s="39"/>
      <c r="V905" s="39"/>
      <c r="W905" s="39"/>
      <c r="X905" s="39"/>
      <c r="Y905" s="39"/>
      <c r="Z905" s="39"/>
      <c r="AA905" s="39"/>
      <c r="AB905" s="39"/>
      <c r="AC905" s="39"/>
      <c r="AD905" s="40"/>
      <c r="AE905" s="40"/>
    </row>
    <row r="906" spans="1:3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39"/>
      <c r="P906" s="39"/>
      <c r="Q906" s="39"/>
      <c r="R906" s="39"/>
      <c r="S906" s="41"/>
      <c r="T906" s="41"/>
      <c r="U906" s="39"/>
      <c r="V906" s="39"/>
      <c r="W906" s="39"/>
      <c r="X906" s="39"/>
      <c r="Y906" s="39"/>
      <c r="Z906" s="39"/>
      <c r="AA906" s="39"/>
      <c r="AB906" s="39"/>
      <c r="AC906" s="39"/>
      <c r="AD906" s="40"/>
      <c r="AE906" s="40"/>
    </row>
    <row r="907" spans="1:3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39"/>
      <c r="P907" s="39"/>
      <c r="Q907" s="39"/>
      <c r="R907" s="39"/>
      <c r="S907" s="41"/>
      <c r="T907" s="41"/>
      <c r="U907" s="39"/>
      <c r="V907" s="39"/>
      <c r="W907" s="39"/>
      <c r="X907" s="39"/>
      <c r="Y907" s="39"/>
      <c r="Z907" s="39"/>
      <c r="AA907" s="39"/>
      <c r="AB907" s="39"/>
      <c r="AC907" s="39"/>
      <c r="AD907" s="40"/>
      <c r="AE907" s="40"/>
    </row>
    <row r="908" spans="1:3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39"/>
      <c r="P908" s="39"/>
      <c r="Q908" s="39"/>
      <c r="R908" s="39"/>
      <c r="S908" s="41"/>
      <c r="T908" s="41"/>
      <c r="U908" s="39"/>
      <c r="V908" s="39"/>
      <c r="W908" s="39"/>
      <c r="X908" s="39"/>
      <c r="Y908" s="39"/>
      <c r="Z908" s="39"/>
      <c r="AA908" s="39"/>
      <c r="AB908" s="39"/>
      <c r="AC908" s="39"/>
      <c r="AD908" s="40"/>
      <c r="AE908" s="40"/>
    </row>
    <row r="909" spans="1:3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39"/>
      <c r="P909" s="39"/>
      <c r="Q909" s="39"/>
      <c r="R909" s="39"/>
      <c r="S909" s="41"/>
      <c r="T909" s="41"/>
      <c r="U909" s="39"/>
      <c r="V909" s="39"/>
      <c r="W909" s="39"/>
      <c r="X909" s="39"/>
      <c r="Y909" s="39"/>
      <c r="Z909" s="39"/>
      <c r="AA909" s="39"/>
      <c r="AB909" s="39"/>
      <c r="AC909" s="39"/>
      <c r="AD909" s="40"/>
      <c r="AE909" s="40"/>
    </row>
    <row r="910" spans="1:3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39"/>
      <c r="P910" s="39"/>
      <c r="Q910" s="39"/>
      <c r="R910" s="39"/>
      <c r="S910" s="41"/>
      <c r="T910" s="41"/>
      <c r="U910" s="39"/>
      <c r="V910" s="39"/>
      <c r="W910" s="39"/>
      <c r="X910" s="39"/>
      <c r="Y910" s="39"/>
      <c r="Z910" s="39"/>
      <c r="AA910" s="39"/>
      <c r="AB910" s="39"/>
      <c r="AC910" s="39"/>
      <c r="AD910" s="40"/>
      <c r="AE910" s="40"/>
    </row>
    <row r="911" spans="1:3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39"/>
      <c r="P911" s="39"/>
      <c r="Q911" s="39"/>
      <c r="R911" s="39"/>
      <c r="S911" s="41"/>
      <c r="T911" s="41"/>
      <c r="U911" s="39"/>
      <c r="V911" s="39"/>
      <c r="W911" s="39"/>
      <c r="X911" s="39"/>
      <c r="Y911" s="39"/>
      <c r="Z911" s="39"/>
      <c r="AA911" s="39"/>
      <c r="AB911" s="39"/>
      <c r="AC911" s="39"/>
      <c r="AD911" s="40"/>
      <c r="AE911" s="40"/>
    </row>
    <row r="912" spans="1:3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39"/>
      <c r="P912" s="39"/>
      <c r="Q912" s="39"/>
      <c r="R912" s="39"/>
      <c r="S912" s="41"/>
      <c r="T912" s="41"/>
      <c r="U912" s="39"/>
      <c r="V912" s="39"/>
      <c r="W912" s="39"/>
      <c r="X912" s="39"/>
      <c r="Y912" s="39"/>
      <c r="Z912" s="39"/>
      <c r="AA912" s="39"/>
      <c r="AB912" s="39"/>
      <c r="AC912" s="39"/>
      <c r="AD912" s="40"/>
      <c r="AE912" s="40"/>
    </row>
    <row r="913" spans="1:3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39"/>
      <c r="P913" s="39"/>
      <c r="Q913" s="39"/>
      <c r="R913" s="39"/>
      <c r="S913" s="41"/>
      <c r="T913" s="41"/>
      <c r="U913" s="39"/>
      <c r="V913" s="39"/>
      <c r="W913" s="39"/>
      <c r="X913" s="39"/>
      <c r="Y913" s="39"/>
      <c r="Z913" s="39"/>
      <c r="AA913" s="39"/>
      <c r="AB913" s="39"/>
      <c r="AC913" s="39"/>
      <c r="AD913" s="40"/>
      <c r="AE913" s="40"/>
    </row>
    <row r="914" spans="1:3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39"/>
      <c r="P914" s="39"/>
      <c r="Q914" s="39"/>
      <c r="R914" s="39"/>
      <c r="S914" s="41"/>
      <c r="T914" s="41"/>
      <c r="U914" s="39"/>
      <c r="V914" s="39"/>
      <c r="W914" s="39"/>
      <c r="X914" s="39"/>
      <c r="Y914" s="39"/>
      <c r="Z914" s="39"/>
      <c r="AA914" s="39"/>
      <c r="AB914" s="39"/>
      <c r="AC914" s="39"/>
      <c r="AD914" s="40"/>
      <c r="AE914" s="40"/>
    </row>
    <row r="915" spans="1:3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39"/>
      <c r="P915" s="39"/>
      <c r="Q915" s="39"/>
      <c r="R915" s="39"/>
      <c r="S915" s="41"/>
      <c r="T915" s="41"/>
      <c r="U915" s="39"/>
      <c r="V915" s="39"/>
      <c r="W915" s="39"/>
      <c r="X915" s="39"/>
      <c r="Y915" s="39"/>
      <c r="Z915" s="39"/>
      <c r="AA915" s="39"/>
      <c r="AB915" s="39"/>
      <c r="AC915" s="39"/>
      <c r="AD915" s="40"/>
      <c r="AE915" s="40"/>
    </row>
    <row r="916" spans="1:3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39"/>
      <c r="P916" s="39"/>
      <c r="Q916" s="39"/>
      <c r="R916" s="39"/>
      <c r="S916" s="41"/>
      <c r="T916" s="41"/>
      <c r="U916" s="39"/>
      <c r="V916" s="39"/>
      <c r="W916" s="39"/>
      <c r="X916" s="39"/>
      <c r="Y916" s="39"/>
      <c r="Z916" s="39"/>
      <c r="AA916" s="39"/>
      <c r="AB916" s="39"/>
      <c r="AC916" s="39"/>
      <c r="AD916" s="40"/>
      <c r="AE916" s="40"/>
    </row>
    <row r="917" spans="1:3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39"/>
      <c r="P917" s="39"/>
      <c r="Q917" s="39"/>
      <c r="R917" s="39"/>
      <c r="S917" s="41"/>
      <c r="T917" s="41"/>
      <c r="U917" s="39"/>
      <c r="V917" s="39"/>
      <c r="W917" s="39"/>
      <c r="X917" s="39"/>
      <c r="Y917" s="39"/>
      <c r="Z917" s="39"/>
      <c r="AA917" s="39"/>
      <c r="AB917" s="39"/>
      <c r="AC917" s="39"/>
      <c r="AD917" s="40"/>
      <c r="AE917" s="40"/>
    </row>
    <row r="918" spans="1:3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39"/>
      <c r="P918" s="39"/>
      <c r="Q918" s="39"/>
      <c r="R918" s="39"/>
      <c r="S918" s="41"/>
      <c r="T918" s="41"/>
      <c r="U918" s="39"/>
      <c r="V918" s="39"/>
      <c r="W918" s="39"/>
      <c r="X918" s="39"/>
      <c r="Y918" s="39"/>
      <c r="Z918" s="39"/>
      <c r="AA918" s="39"/>
      <c r="AB918" s="39"/>
      <c r="AC918" s="39"/>
      <c r="AD918" s="40"/>
      <c r="AE918" s="40"/>
    </row>
    <row r="919" spans="1:3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39"/>
      <c r="P919" s="39"/>
      <c r="Q919" s="39"/>
      <c r="R919" s="39"/>
      <c r="S919" s="41"/>
      <c r="T919" s="41"/>
      <c r="U919" s="39"/>
      <c r="V919" s="39"/>
      <c r="W919" s="39"/>
      <c r="X919" s="39"/>
      <c r="Y919" s="39"/>
      <c r="Z919" s="39"/>
      <c r="AA919" s="39"/>
      <c r="AB919" s="39"/>
      <c r="AC919" s="39"/>
      <c r="AD919" s="40"/>
      <c r="AE919" s="40"/>
    </row>
    <row r="920" spans="1:3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39"/>
      <c r="P920" s="39"/>
      <c r="Q920" s="39"/>
      <c r="R920" s="39"/>
      <c r="S920" s="41"/>
      <c r="T920" s="41"/>
      <c r="U920" s="39"/>
      <c r="V920" s="39"/>
      <c r="W920" s="39"/>
      <c r="X920" s="39"/>
      <c r="Y920" s="39"/>
      <c r="Z920" s="39"/>
      <c r="AA920" s="39"/>
      <c r="AB920" s="39"/>
      <c r="AC920" s="39"/>
      <c r="AD920" s="40"/>
      <c r="AE920" s="40"/>
    </row>
    <row r="921" spans="1:3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39"/>
      <c r="P921" s="39"/>
      <c r="Q921" s="39"/>
      <c r="R921" s="39"/>
      <c r="S921" s="41"/>
      <c r="T921" s="41"/>
      <c r="U921" s="39"/>
      <c r="V921" s="39"/>
      <c r="W921" s="39"/>
      <c r="X921" s="39"/>
      <c r="Y921" s="39"/>
      <c r="Z921" s="39"/>
      <c r="AA921" s="39"/>
      <c r="AB921" s="39"/>
      <c r="AC921" s="39"/>
      <c r="AD921" s="40"/>
      <c r="AE921" s="40"/>
    </row>
    <row r="922" spans="1:3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39"/>
      <c r="P922" s="39"/>
      <c r="Q922" s="39"/>
      <c r="R922" s="39"/>
      <c r="S922" s="41"/>
      <c r="T922" s="41"/>
      <c r="U922" s="39"/>
      <c r="V922" s="39"/>
      <c r="W922" s="39"/>
      <c r="X922" s="39"/>
      <c r="Y922" s="39"/>
      <c r="Z922" s="39"/>
      <c r="AA922" s="39"/>
      <c r="AB922" s="39"/>
      <c r="AC922" s="39"/>
      <c r="AD922" s="40"/>
      <c r="AE922" s="40"/>
    </row>
    <row r="923" spans="1:3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39"/>
      <c r="P923" s="39"/>
      <c r="Q923" s="39"/>
      <c r="R923" s="39"/>
      <c r="S923" s="41"/>
      <c r="T923" s="41"/>
      <c r="U923" s="39"/>
      <c r="V923" s="39"/>
      <c r="W923" s="39"/>
      <c r="X923" s="39"/>
      <c r="Y923" s="39"/>
      <c r="Z923" s="39"/>
      <c r="AA923" s="39"/>
      <c r="AB923" s="39"/>
      <c r="AC923" s="39"/>
      <c r="AD923" s="40"/>
      <c r="AE923" s="40"/>
    </row>
    <row r="924" spans="1:3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39"/>
      <c r="P924" s="39"/>
      <c r="Q924" s="39"/>
      <c r="R924" s="39"/>
      <c r="S924" s="41"/>
      <c r="T924" s="41"/>
      <c r="U924" s="39"/>
      <c r="V924" s="39"/>
      <c r="W924" s="39"/>
      <c r="X924" s="39"/>
      <c r="Y924" s="39"/>
      <c r="Z924" s="39"/>
      <c r="AA924" s="39"/>
      <c r="AB924" s="39"/>
      <c r="AC924" s="39"/>
      <c r="AD924" s="40"/>
      <c r="AE924" s="40"/>
    </row>
    <row r="925" spans="1:3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39"/>
      <c r="P925" s="39"/>
      <c r="Q925" s="39"/>
      <c r="R925" s="39"/>
      <c r="S925" s="41"/>
      <c r="T925" s="41"/>
      <c r="U925" s="39"/>
      <c r="V925" s="39"/>
      <c r="W925" s="39"/>
      <c r="X925" s="39"/>
      <c r="Y925" s="39"/>
      <c r="Z925" s="39"/>
      <c r="AA925" s="39"/>
      <c r="AB925" s="39"/>
      <c r="AC925" s="39"/>
      <c r="AD925" s="40"/>
      <c r="AE925" s="40"/>
    </row>
    <row r="926" spans="1:3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39"/>
      <c r="P926" s="39"/>
      <c r="Q926" s="39"/>
      <c r="R926" s="39"/>
      <c r="S926" s="41"/>
      <c r="T926" s="41"/>
      <c r="U926" s="39"/>
      <c r="V926" s="39"/>
      <c r="W926" s="39"/>
      <c r="X926" s="39"/>
      <c r="Y926" s="39"/>
      <c r="Z926" s="39"/>
      <c r="AA926" s="39"/>
      <c r="AB926" s="39"/>
      <c r="AC926" s="39"/>
      <c r="AD926" s="40"/>
      <c r="AE926" s="40"/>
    </row>
    <row r="927" spans="1:3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39"/>
      <c r="P927" s="39"/>
      <c r="Q927" s="39"/>
      <c r="R927" s="39"/>
      <c r="S927" s="41"/>
      <c r="T927" s="41"/>
      <c r="U927" s="39"/>
      <c r="V927" s="39"/>
      <c r="W927" s="39"/>
      <c r="X927" s="39"/>
      <c r="Y927" s="39"/>
      <c r="Z927" s="39"/>
      <c r="AA927" s="39"/>
      <c r="AB927" s="39"/>
      <c r="AC927" s="39"/>
      <c r="AD927" s="40"/>
      <c r="AE927" s="40"/>
    </row>
    <row r="928" spans="1:3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39"/>
      <c r="P928" s="39"/>
      <c r="Q928" s="39"/>
      <c r="R928" s="39"/>
      <c r="S928" s="41"/>
      <c r="T928" s="41"/>
      <c r="U928" s="39"/>
      <c r="V928" s="39"/>
      <c r="W928" s="39"/>
      <c r="X928" s="39"/>
      <c r="Y928" s="39"/>
      <c r="Z928" s="39"/>
      <c r="AA928" s="39"/>
      <c r="AB928" s="39"/>
      <c r="AC928" s="39"/>
      <c r="AD928" s="40"/>
      <c r="AE928" s="40"/>
    </row>
    <row r="929" spans="1:3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39"/>
      <c r="P929" s="39"/>
      <c r="Q929" s="39"/>
      <c r="R929" s="39"/>
      <c r="S929" s="41"/>
      <c r="T929" s="41"/>
      <c r="U929" s="39"/>
      <c r="V929" s="39"/>
      <c r="W929" s="39"/>
      <c r="X929" s="39"/>
      <c r="Y929" s="39"/>
      <c r="Z929" s="39"/>
      <c r="AA929" s="39"/>
      <c r="AB929" s="39"/>
      <c r="AC929" s="39"/>
      <c r="AD929" s="40"/>
      <c r="AE929" s="40"/>
    </row>
    <row r="930" spans="1:3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39"/>
      <c r="P930" s="39"/>
      <c r="Q930" s="39"/>
      <c r="R930" s="39"/>
      <c r="S930" s="41"/>
      <c r="T930" s="41"/>
      <c r="U930" s="39"/>
      <c r="V930" s="39"/>
      <c r="W930" s="39"/>
      <c r="X930" s="39"/>
      <c r="Y930" s="39"/>
      <c r="Z930" s="39"/>
      <c r="AA930" s="39"/>
      <c r="AB930" s="39"/>
      <c r="AC930" s="39"/>
      <c r="AD930" s="40"/>
      <c r="AE930" s="40"/>
    </row>
    <row r="931" spans="1:3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39"/>
      <c r="P931" s="39"/>
      <c r="Q931" s="39"/>
      <c r="R931" s="39"/>
      <c r="S931" s="41"/>
      <c r="T931" s="41"/>
      <c r="U931" s="39"/>
      <c r="V931" s="39"/>
      <c r="W931" s="39"/>
      <c r="X931" s="39"/>
      <c r="Y931" s="39"/>
      <c r="Z931" s="39"/>
      <c r="AA931" s="39"/>
      <c r="AB931" s="39"/>
      <c r="AC931" s="39"/>
      <c r="AD931" s="40"/>
      <c r="AE931" s="40"/>
    </row>
    <row r="932" spans="1:3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39"/>
      <c r="P932" s="39"/>
      <c r="Q932" s="39"/>
      <c r="R932" s="39"/>
      <c r="S932" s="41"/>
      <c r="T932" s="41"/>
      <c r="U932" s="39"/>
      <c r="V932" s="39"/>
      <c r="W932" s="39"/>
      <c r="X932" s="39"/>
      <c r="Y932" s="39"/>
      <c r="Z932" s="39"/>
      <c r="AA932" s="39"/>
      <c r="AB932" s="39"/>
      <c r="AC932" s="39"/>
      <c r="AD932" s="40"/>
      <c r="AE932" s="40"/>
    </row>
    <row r="933" spans="1:3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39"/>
      <c r="P933" s="39"/>
      <c r="Q933" s="39"/>
      <c r="R933" s="39"/>
      <c r="S933" s="41"/>
      <c r="T933" s="41"/>
      <c r="U933" s="39"/>
      <c r="V933" s="39"/>
      <c r="W933" s="39"/>
      <c r="X933" s="39"/>
      <c r="Y933" s="39"/>
      <c r="Z933" s="39"/>
      <c r="AA933" s="39"/>
      <c r="AB933" s="39"/>
      <c r="AC933" s="39"/>
      <c r="AD933" s="40"/>
      <c r="AE933" s="40"/>
    </row>
    <row r="934" spans="1:3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39"/>
      <c r="P934" s="39"/>
      <c r="Q934" s="39"/>
      <c r="R934" s="39"/>
      <c r="S934" s="41"/>
      <c r="T934" s="41"/>
      <c r="U934" s="39"/>
      <c r="V934" s="39"/>
      <c r="W934" s="39"/>
      <c r="X934" s="39"/>
      <c r="Y934" s="39"/>
      <c r="Z934" s="39"/>
      <c r="AA934" s="39"/>
      <c r="AB934" s="39"/>
      <c r="AC934" s="39"/>
      <c r="AD934" s="40"/>
      <c r="AE934" s="40"/>
    </row>
    <row r="935" spans="1:3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39"/>
      <c r="P935" s="39"/>
      <c r="Q935" s="39"/>
      <c r="R935" s="39"/>
      <c r="S935" s="41"/>
      <c r="T935" s="41"/>
      <c r="U935" s="39"/>
      <c r="V935" s="39"/>
      <c r="W935" s="39"/>
      <c r="X935" s="39"/>
      <c r="Y935" s="39"/>
      <c r="Z935" s="39"/>
      <c r="AA935" s="39"/>
      <c r="AB935" s="39"/>
      <c r="AC935" s="39"/>
      <c r="AD935" s="40"/>
      <c r="AE935" s="40"/>
    </row>
    <row r="936" spans="1:3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39"/>
      <c r="P936" s="39"/>
      <c r="Q936" s="39"/>
      <c r="R936" s="39"/>
      <c r="S936" s="41"/>
      <c r="T936" s="41"/>
      <c r="U936" s="39"/>
      <c r="V936" s="39"/>
      <c r="W936" s="39"/>
      <c r="X936" s="39"/>
      <c r="Y936" s="39"/>
      <c r="Z936" s="39"/>
      <c r="AA936" s="39"/>
      <c r="AB936" s="39"/>
      <c r="AC936" s="39"/>
      <c r="AD936" s="40"/>
      <c r="AE936" s="40"/>
    </row>
    <row r="937" spans="1:3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39"/>
      <c r="P937" s="39"/>
      <c r="Q937" s="39"/>
      <c r="R937" s="39"/>
      <c r="S937" s="41"/>
      <c r="T937" s="41"/>
      <c r="U937" s="39"/>
      <c r="V937" s="39"/>
      <c r="W937" s="39"/>
      <c r="X937" s="39"/>
      <c r="Y937" s="39"/>
      <c r="Z937" s="39"/>
      <c r="AA937" s="39"/>
      <c r="AB937" s="39"/>
      <c r="AC937" s="39"/>
      <c r="AD937" s="40"/>
      <c r="AE937" s="40"/>
    </row>
    <row r="938" spans="1:3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39"/>
      <c r="P938" s="39"/>
      <c r="Q938" s="39"/>
      <c r="R938" s="39"/>
      <c r="S938" s="41"/>
      <c r="T938" s="41"/>
      <c r="U938" s="39"/>
      <c r="V938" s="39"/>
      <c r="W938" s="39"/>
      <c r="X938" s="39"/>
      <c r="Y938" s="39"/>
      <c r="Z938" s="39"/>
      <c r="AA938" s="39"/>
      <c r="AB938" s="39"/>
      <c r="AC938" s="39"/>
      <c r="AD938" s="40"/>
      <c r="AE938" s="40"/>
    </row>
    <row r="939" spans="1:3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39"/>
      <c r="P939" s="39"/>
      <c r="Q939" s="39"/>
      <c r="R939" s="39"/>
      <c r="S939" s="41"/>
      <c r="T939" s="41"/>
      <c r="U939" s="39"/>
      <c r="V939" s="39"/>
      <c r="W939" s="39"/>
      <c r="X939" s="39"/>
      <c r="Y939" s="39"/>
      <c r="Z939" s="39"/>
      <c r="AA939" s="39"/>
      <c r="AB939" s="39"/>
      <c r="AC939" s="39"/>
      <c r="AD939" s="40"/>
      <c r="AE939" s="40"/>
    </row>
    <row r="940" spans="1:3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39"/>
      <c r="P940" s="39"/>
      <c r="Q940" s="39"/>
      <c r="R940" s="39"/>
      <c r="S940" s="41"/>
      <c r="T940" s="41"/>
      <c r="U940" s="39"/>
      <c r="V940" s="39"/>
      <c r="W940" s="39"/>
      <c r="X940" s="39"/>
      <c r="Y940" s="39"/>
      <c r="Z940" s="39"/>
      <c r="AA940" s="39"/>
      <c r="AB940" s="39"/>
      <c r="AC940" s="39"/>
      <c r="AD940" s="40"/>
      <c r="AE940" s="40"/>
    </row>
    <row r="941" spans="1:3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39"/>
      <c r="P941" s="39"/>
      <c r="Q941" s="39"/>
      <c r="R941" s="39"/>
      <c r="S941" s="41"/>
      <c r="T941" s="41"/>
      <c r="U941" s="39"/>
      <c r="V941" s="39"/>
      <c r="W941" s="39"/>
      <c r="X941" s="39"/>
      <c r="Y941" s="39"/>
      <c r="Z941" s="39"/>
      <c r="AA941" s="39"/>
      <c r="AB941" s="39"/>
      <c r="AC941" s="39"/>
      <c r="AD941" s="40"/>
      <c r="AE941" s="40"/>
    </row>
    <row r="942" spans="1:3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39"/>
      <c r="P942" s="39"/>
      <c r="Q942" s="39"/>
      <c r="R942" s="39"/>
      <c r="S942" s="41"/>
      <c r="T942" s="41"/>
      <c r="U942" s="39"/>
      <c r="V942" s="39"/>
      <c r="W942" s="39"/>
      <c r="X942" s="39"/>
      <c r="Y942" s="39"/>
      <c r="Z942" s="39"/>
      <c r="AA942" s="39"/>
      <c r="AB942" s="39"/>
      <c r="AC942" s="39"/>
      <c r="AD942" s="40"/>
      <c r="AE942" s="40"/>
    </row>
    <row r="943" spans="1:3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39"/>
      <c r="P943" s="39"/>
      <c r="Q943" s="39"/>
      <c r="R943" s="39"/>
      <c r="S943" s="41"/>
      <c r="T943" s="41"/>
      <c r="U943" s="39"/>
      <c r="V943" s="39"/>
      <c r="W943" s="39"/>
      <c r="X943" s="39"/>
      <c r="Y943" s="39"/>
      <c r="Z943" s="39"/>
      <c r="AA943" s="39"/>
      <c r="AB943" s="39"/>
      <c r="AC943" s="39"/>
      <c r="AD943" s="40"/>
      <c r="AE943" s="40"/>
    </row>
    <row r="944" spans="1:3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39"/>
      <c r="P944" s="39"/>
      <c r="Q944" s="39"/>
      <c r="R944" s="39"/>
      <c r="S944" s="41"/>
      <c r="T944" s="41"/>
      <c r="U944" s="39"/>
      <c r="V944" s="39"/>
      <c r="W944" s="39"/>
      <c r="X944" s="39"/>
      <c r="Y944" s="39"/>
      <c r="Z944" s="39"/>
      <c r="AA944" s="39"/>
      <c r="AB944" s="39"/>
      <c r="AC944" s="39"/>
      <c r="AD944" s="40"/>
      <c r="AE944" s="40"/>
    </row>
    <row r="945" spans="1:4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39"/>
      <c r="P945" s="39"/>
      <c r="Q945" s="39"/>
      <c r="R945" s="39"/>
      <c r="S945" s="41"/>
      <c r="T945" s="41"/>
      <c r="U945" s="39"/>
      <c r="V945" s="39"/>
      <c r="W945" s="39"/>
      <c r="X945" s="39"/>
      <c r="Y945" s="39"/>
      <c r="Z945" s="39"/>
      <c r="AA945" s="39"/>
      <c r="AB945" s="39"/>
      <c r="AC945" s="39"/>
      <c r="AD945" s="40"/>
      <c r="AE945" s="40"/>
    </row>
    <row r="946" spans="1:4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39"/>
      <c r="P946" s="39"/>
      <c r="Q946" s="39"/>
      <c r="R946" s="39"/>
      <c r="S946" s="41"/>
      <c r="T946" s="41"/>
      <c r="U946" s="39"/>
      <c r="V946" s="39"/>
      <c r="W946" s="39"/>
      <c r="X946" s="39"/>
      <c r="Y946" s="39"/>
      <c r="Z946" s="39"/>
      <c r="AA946" s="39"/>
      <c r="AB946" s="39"/>
      <c r="AC946" s="39"/>
      <c r="AD946" s="40"/>
      <c r="AE946" s="40"/>
    </row>
    <row r="947" spans="1:4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39"/>
      <c r="P947" s="39"/>
      <c r="Q947" s="39"/>
      <c r="R947" s="39"/>
      <c r="S947" s="41"/>
      <c r="T947" s="41"/>
      <c r="U947" s="39"/>
      <c r="V947" s="39"/>
      <c r="W947" s="39"/>
      <c r="X947" s="39"/>
      <c r="Y947" s="39"/>
      <c r="Z947" s="39"/>
      <c r="AA947" s="39"/>
      <c r="AB947" s="39"/>
      <c r="AC947" s="39"/>
      <c r="AD947" s="40"/>
      <c r="AE947" s="40"/>
    </row>
    <row r="948" spans="1:4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39"/>
      <c r="P948" s="39"/>
      <c r="Q948" s="39"/>
      <c r="R948" s="39"/>
      <c r="S948" s="41"/>
      <c r="T948" s="41"/>
      <c r="U948" s="39"/>
      <c r="V948" s="39"/>
      <c r="W948" s="39"/>
      <c r="X948" s="39"/>
      <c r="Y948" s="39"/>
      <c r="Z948" s="39"/>
      <c r="AA948" s="39"/>
      <c r="AB948" s="39"/>
      <c r="AC948" s="39"/>
      <c r="AD948" s="40"/>
      <c r="AE948" s="40"/>
    </row>
    <row r="949" spans="1:4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39"/>
      <c r="P949" s="39"/>
      <c r="Q949" s="39"/>
      <c r="R949" s="39"/>
      <c r="S949" s="41"/>
      <c r="T949" s="41"/>
      <c r="U949" s="39"/>
      <c r="V949" s="39"/>
      <c r="W949" s="39"/>
      <c r="X949" s="39"/>
      <c r="Y949" s="39"/>
      <c r="Z949" s="39"/>
      <c r="AA949" s="39"/>
      <c r="AB949" s="39"/>
      <c r="AC949" s="39"/>
      <c r="AD949" s="40"/>
      <c r="AE949" s="40"/>
    </row>
    <row r="950" spans="1:4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39"/>
      <c r="P950" s="39"/>
      <c r="Q950" s="39"/>
      <c r="R950" s="39"/>
      <c r="S950" s="41"/>
      <c r="T950" s="41"/>
      <c r="U950" s="39"/>
      <c r="V950" s="39"/>
      <c r="W950" s="39"/>
      <c r="X950" s="39"/>
      <c r="Y950" s="39"/>
      <c r="Z950" s="39"/>
      <c r="AA950" s="39"/>
      <c r="AB950" s="39"/>
      <c r="AC950" s="39"/>
      <c r="AD950" s="40"/>
      <c r="AE950" s="40"/>
    </row>
    <row r="951" spans="1:4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39"/>
      <c r="P951" s="39"/>
      <c r="Q951" s="39"/>
      <c r="R951" s="39"/>
      <c r="S951" s="41"/>
      <c r="T951" s="41"/>
      <c r="U951" s="39"/>
      <c r="V951" s="39"/>
      <c r="W951" s="39"/>
      <c r="X951" s="39"/>
      <c r="Y951" s="39"/>
      <c r="Z951" s="39"/>
      <c r="AA951" s="39"/>
      <c r="AB951" s="39"/>
      <c r="AC951" s="39"/>
      <c r="AD951" s="40"/>
      <c r="AE951" s="40"/>
    </row>
    <row r="952" spans="1:4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39"/>
      <c r="P952" s="39"/>
      <c r="Q952" s="39"/>
      <c r="R952" s="39"/>
      <c r="S952" s="41"/>
      <c r="T952" s="41"/>
      <c r="U952" s="39"/>
      <c r="V952" s="39"/>
      <c r="W952" s="39"/>
      <c r="X952" s="39"/>
      <c r="Y952" s="39"/>
      <c r="Z952" s="39"/>
      <c r="AA952" s="39"/>
      <c r="AB952" s="39"/>
      <c r="AC952" s="39"/>
      <c r="AD952" s="40"/>
      <c r="AE952" s="40"/>
    </row>
    <row r="953" spans="1:4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39"/>
      <c r="P953" s="39"/>
      <c r="Q953" s="39"/>
      <c r="R953" s="39"/>
      <c r="S953" s="41"/>
      <c r="T953" s="41"/>
      <c r="U953" s="39"/>
      <c r="V953" s="39"/>
      <c r="W953" s="39"/>
      <c r="X953" s="39"/>
      <c r="Y953" s="39"/>
      <c r="Z953" s="39"/>
      <c r="AA953" s="39"/>
      <c r="AB953" s="39"/>
      <c r="AC953" s="39"/>
      <c r="AD953" s="40"/>
      <c r="AE953" s="40"/>
    </row>
    <row r="954" spans="1:4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39"/>
      <c r="P954" s="39"/>
      <c r="Q954" s="39"/>
      <c r="R954" s="39"/>
      <c r="S954" s="41"/>
      <c r="T954" s="41"/>
      <c r="U954" s="39"/>
      <c r="V954" s="39"/>
      <c r="W954" s="39"/>
      <c r="X954" s="39"/>
      <c r="Y954" s="39"/>
      <c r="Z954" s="39"/>
      <c r="AA954" s="39"/>
      <c r="AB954" s="39"/>
      <c r="AC954" s="39"/>
      <c r="AD954" s="40"/>
      <c r="AE954" s="40"/>
    </row>
    <row r="955" spans="1:4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39"/>
      <c r="P955" s="39"/>
      <c r="Q955" s="39"/>
      <c r="R955" s="39"/>
      <c r="S955" s="41"/>
      <c r="T955" s="41"/>
      <c r="U955" s="39"/>
      <c r="V955" s="39"/>
      <c r="W955" s="39"/>
      <c r="X955" s="39"/>
      <c r="Y955" s="39"/>
      <c r="Z955" s="39"/>
      <c r="AA955" s="39"/>
      <c r="AB955" s="39"/>
      <c r="AC955" s="39"/>
      <c r="AD955" s="40"/>
      <c r="AE955" s="40"/>
    </row>
    <row r="956" spans="1:4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39"/>
      <c r="P956" s="39"/>
      <c r="Q956" s="39"/>
      <c r="R956" s="39"/>
      <c r="S956" s="41"/>
      <c r="T956" s="41"/>
      <c r="U956" s="39"/>
      <c r="V956" s="39"/>
      <c r="W956" s="39"/>
      <c r="X956" s="39"/>
      <c r="Y956" s="39"/>
      <c r="Z956" s="39"/>
      <c r="AA956" s="39"/>
      <c r="AB956" s="39"/>
      <c r="AC956" s="39"/>
      <c r="AD956" s="40"/>
      <c r="AE956" s="40"/>
    </row>
    <row r="957" spans="1:4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39"/>
      <c r="P957" s="39"/>
      <c r="Q957" s="39"/>
      <c r="R957" s="39"/>
      <c r="S957" s="41"/>
      <c r="T957" s="41"/>
      <c r="U957" s="39"/>
      <c r="V957" s="39"/>
      <c r="W957" s="39"/>
      <c r="X957" s="39"/>
      <c r="Y957" s="39"/>
      <c r="Z957" s="39"/>
      <c r="AA957" s="39"/>
      <c r="AB957" s="39"/>
      <c r="AC957" s="39"/>
      <c r="AD957" s="40"/>
      <c r="AE957" s="40"/>
    </row>
    <row r="958" spans="1:4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39"/>
      <c r="P958" s="39"/>
      <c r="Q958" s="39"/>
      <c r="R958" s="39"/>
      <c r="S958" s="41"/>
      <c r="T958" s="41"/>
      <c r="U958" s="39"/>
      <c r="V958" s="39"/>
      <c r="W958" s="39"/>
      <c r="X958" s="39"/>
      <c r="Y958" s="39"/>
      <c r="Z958" s="39"/>
      <c r="AA958" s="39"/>
      <c r="AB958" s="39"/>
      <c r="AC958" s="39"/>
      <c r="AD958" s="40"/>
      <c r="AE958" s="40"/>
    </row>
    <row r="959" spans="1:4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39"/>
      <c r="P959" s="39"/>
      <c r="Q959" s="39"/>
      <c r="R959" s="39"/>
      <c r="S959" s="41"/>
      <c r="T959" s="41"/>
      <c r="U959" s="39"/>
      <c r="V959" s="39"/>
      <c r="W959" s="39"/>
      <c r="X959" s="39"/>
      <c r="Y959" s="39"/>
      <c r="Z959" s="39"/>
      <c r="AA959" s="39"/>
      <c r="AB959" s="39"/>
      <c r="AC959" s="39"/>
      <c r="AD959" s="40"/>
      <c r="AE959" s="40"/>
    </row>
    <row r="960" spans="1:4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U960" s="41"/>
      <c r="V960" s="41"/>
      <c r="W960" s="41"/>
      <c r="X960" s="41"/>
      <c r="Y960" s="39"/>
      <c r="Z960" s="39"/>
      <c r="AA960" s="39"/>
      <c r="AB960" s="39"/>
      <c r="AC960" s="39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</row>
    <row r="961" spans="1:1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</sheetData>
  <sheetProtection algorithmName="SHA-512" hashValue="emd3wboTu5gSZ5lRUnnqVugFZnm3Y5YI+YW5SqkD1+dW/C8q/tvVfIgyFk+LJdyRKwqlDWrfQMX1riZCgToBJw==" saltValue="y48thwFS2Ff5lD4PKQnfFg==" spinCount="100000" sheet="1" objects="1" scenarios="1"/>
  <mergeCells count="9">
    <mergeCell ref="C58:C59"/>
    <mergeCell ref="D58:D59"/>
    <mergeCell ref="E58:H58"/>
    <mergeCell ref="B2:T3"/>
    <mergeCell ref="C51:H52"/>
    <mergeCell ref="C54:F54"/>
    <mergeCell ref="C57:H57"/>
    <mergeCell ref="B24:D24"/>
    <mergeCell ref="B5:F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986"/>
  <sheetViews>
    <sheetView zoomScale="75" zoomScaleNormal="75" workbookViewId="0">
      <selection activeCell="G38" sqref="G38"/>
    </sheetView>
  </sheetViews>
  <sheetFormatPr defaultColWidth="11.42578125" defaultRowHeight="15" x14ac:dyDescent="0.25"/>
  <cols>
    <col min="1" max="3" width="11.42578125" style="1"/>
    <col min="4" max="4" width="10.42578125" style="1" customWidth="1"/>
    <col min="5" max="5" width="7.7109375" style="1" customWidth="1"/>
    <col min="6" max="6" width="11.42578125" style="1"/>
    <col min="7" max="7" width="6.140625" style="1" customWidth="1"/>
    <col min="8" max="8" width="11.42578125" style="1"/>
    <col min="9" max="9" width="12.5703125" style="1" bestFit="1" customWidth="1"/>
    <col min="10" max="10" width="18" style="234" customWidth="1"/>
    <col min="11" max="11" width="11.42578125" style="1"/>
    <col min="12" max="12" width="15.5703125" style="1" customWidth="1"/>
    <col min="13" max="13" width="11.42578125" style="1"/>
    <col min="14" max="14" width="12.85546875" style="1" bestFit="1" customWidth="1"/>
    <col min="15" max="16384" width="11.42578125" style="1"/>
  </cols>
  <sheetData>
    <row r="3" spans="2:12" s="1" customFormat="1" ht="15.75" thickBot="1" x14ac:dyDescent="0.3">
      <c r="J3" s="234"/>
    </row>
    <row r="4" spans="2:12" s="1" customFormat="1" x14ac:dyDescent="0.25">
      <c r="B4" s="274" t="s">
        <v>127</v>
      </c>
      <c r="C4" s="275"/>
      <c r="D4" s="275"/>
      <c r="E4" s="274" t="s">
        <v>130</v>
      </c>
      <c r="F4" s="275"/>
      <c r="G4" s="276"/>
      <c r="H4" s="884" t="s">
        <v>7</v>
      </c>
      <c r="J4" s="884" t="s">
        <v>127</v>
      </c>
      <c r="K4" s="282" t="s">
        <v>7</v>
      </c>
      <c r="L4" s="884" t="s">
        <v>130</v>
      </c>
    </row>
    <row r="5" spans="2:12" s="1" customFormat="1" ht="15.75" thickBot="1" x14ac:dyDescent="0.3">
      <c r="B5" s="885" t="s">
        <v>128</v>
      </c>
      <c r="C5" s="886"/>
      <c r="D5" s="886"/>
      <c r="E5" s="885" t="s">
        <v>129</v>
      </c>
      <c r="F5" s="886"/>
      <c r="G5" s="887"/>
      <c r="H5" s="888"/>
      <c r="J5" s="888"/>
      <c r="K5" s="283"/>
      <c r="L5" s="888"/>
    </row>
    <row r="6" spans="2:12" s="1" customFormat="1" x14ac:dyDescent="0.25">
      <c r="B6" s="889" t="s">
        <v>131</v>
      </c>
      <c r="C6" s="245">
        <v>2</v>
      </c>
      <c r="D6" s="245"/>
      <c r="E6" s="890"/>
      <c r="F6" s="66">
        <v>0.8</v>
      </c>
      <c r="G6" s="891"/>
      <c r="H6" s="892">
        <f t="shared" ref="H6:H17" si="0">(F7-F6)/(C7-C6)</f>
        <v>6.6666666666666652E-2</v>
      </c>
      <c r="J6" s="47">
        <v>2</v>
      </c>
      <c r="K6" s="893">
        <f t="shared" ref="K6:K69" si="1">LOOKUP(J6,$C$6:$C$17,$H$6:$H$17)</f>
        <v>6.6666666666666652E-2</v>
      </c>
      <c r="L6" s="894">
        <f>F6</f>
        <v>0.8</v>
      </c>
    </row>
    <row r="7" spans="2:12" s="1" customFormat="1" x14ac:dyDescent="0.25">
      <c r="B7" s="244"/>
      <c r="C7" s="245">
        <v>5</v>
      </c>
      <c r="D7" s="245"/>
      <c r="E7" s="895"/>
      <c r="F7" s="66">
        <v>1</v>
      </c>
      <c r="G7" s="891"/>
      <c r="H7" s="896">
        <f t="shared" si="0"/>
        <v>3.9999999999999994E-2</v>
      </c>
      <c r="J7" s="47">
        <v>2.1</v>
      </c>
      <c r="K7" s="897">
        <f t="shared" si="1"/>
        <v>6.6666666666666652E-2</v>
      </c>
      <c r="L7" s="898">
        <f t="shared" ref="L7:L35" si="2">L6+(K7)*(J7-J6)</f>
        <v>0.80666666666666675</v>
      </c>
    </row>
    <row r="8" spans="2:12" s="1" customFormat="1" x14ac:dyDescent="0.25">
      <c r="B8" s="244"/>
      <c r="C8" s="245">
        <v>10</v>
      </c>
      <c r="D8" s="245"/>
      <c r="E8" s="895"/>
      <c r="F8" s="66">
        <v>1.2</v>
      </c>
      <c r="G8" s="891"/>
      <c r="H8" s="896">
        <f t="shared" si="0"/>
        <v>3.0000000000000006E-2</v>
      </c>
      <c r="J8" s="47">
        <v>2.2000000000000002</v>
      </c>
      <c r="K8" s="897">
        <f t="shared" si="1"/>
        <v>6.6666666666666652E-2</v>
      </c>
      <c r="L8" s="898">
        <f t="shared" si="2"/>
        <v>0.81333333333333346</v>
      </c>
    </row>
    <row r="9" spans="2:12" s="1" customFormat="1" x14ac:dyDescent="0.25">
      <c r="B9" s="244"/>
      <c r="C9" s="245">
        <v>20</v>
      </c>
      <c r="D9" s="245"/>
      <c r="E9" s="895"/>
      <c r="F9" s="66">
        <v>1.5</v>
      </c>
      <c r="G9" s="891"/>
      <c r="H9" s="896">
        <f t="shared" si="0"/>
        <v>3.0000000000000006E-2</v>
      </c>
      <c r="J9" s="47">
        <v>2.2999999999999998</v>
      </c>
      <c r="K9" s="897">
        <f t="shared" si="1"/>
        <v>6.6666666666666652E-2</v>
      </c>
      <c r="L9" s="898">
        <f t="shared" si="2"/>
        <v>0.82000000000000006</v>
      </c>
    </row>
    <row r="10" spans="2:12" s="1" customFormat="1" x14ac:dyDescent="0.25">
      <c r="B10" s="244"/>
      <c r="C10" s="245">
        <v>30</v>
      </c>
      <c r="D10" s="245"/>
      <c r="E10" s="895"/>
      <c r="F10" s="66">
        <v>1.8</v>
      </c>
      <c r="G10" s="891"/>
      <c r="H10" s="896">
        <f t="shared" si="0"/>
        <v>3.0000000000000006E-2</v>
      </c>
      <c r="J10" s="47">
        <v>2.4</v>
      </c>
      <c r="K10" s="897">
        <f t="shared" si="1"/>
        <v>6.6666666666666652E-2</v>
      </c>
      <c r="L10" s="898">
        <f t="shared" si="2"/>
        <v>0.82666666666666677</v>
      </c>
    </row>
    <row r="11" spans="2:12" s="1" customFormat="1" x14ac:dyDescent="0.25">
      <c r="B11" s="244"/>
      <c r="C11" s="245">
        <v>40</v>
      </c>
      <c r="D11" s="245"/>
      <c r="E11" s="895"/>
      <c r="F11" s="66">
        <v>2.1</v>
      </c>
      <c r="G11" s="891"/>
      <c r="H11" s="896">
        <f t="shared" si="0"/>
        <v>2.9999999999999982E-2</v>
      </c>
      <c r="J11" s="47">
        <v>2.5</v>
      </c>
      <c r="K11" s="897">
        <f t="shared" si="1"/>
        <v>6.6666666666666652E-2</v>
      </c>
      <c r="L11" s="898">
        <f t="shared" si="2"/>
        <v>0.83333333333333348</v>
      </c>
    </row>
    <row r="12" spans="2:12" s="1" customFormat="1" x14ac:dyDescent="0.25">
      <c r="B12" s="244"/>
      <c r="C12" s="245">
        <v>50</v>
      </c>
      <c r="D12" s="245"/>
      <c r="E12" s="895"/>
      <c r="F12" s="66">
        <v>2.4</v>
      </c>
      <c r="G12" s="891"/>
      <c r="H12" s="896">
        <f t="shared" si="0"/>
        <v>3.0000000000000027E-2</v>
      </c>
      <c r="J12" s="47">
        <v>2.6</v>
      </c>
      <c r="K12" s="897">
        <f t="shared" si="1"/>
        <v>6.6666666666666652E-2</v>
      </c>
      <c r="L12" s="898">
        <f t="shared" si="2"/>
        <v>0.84000000000000019</v>
      </c>
    </row>
    <row r="13" spans="2:12" s="1" customFormat="1" x14ac:dyDescent="0.25">
      <c r="B13" s="244"/>
      <c r="C13" s="245">
        <v>60</v>
      </c>
      <c r="D13" s="245"/>
      <c r="E13" s="895"/>
      <c r="F13" s="66">
        <v>2.7</v>
      </c>
      <c r="G13" s="891"/>
      <c r="H13" s="896">
        <f t="shared" si="0"/>
        <v>2.9999999999999982E-2</v>
      </c>
      <c r="I13" s="899"/>
      <c r="J13" s="47">
        <v>2.7</v>
      </c>
      <c r="K13" s="897">
        <f t="shared" si="1"/>
        <v>6.6666666666666652E-2</v>
      </c>
      <c r="L13" s="898">
        <f t="shared" si="2"/>
        <v>0.8466666666666669</v>
      </c>
    </row>
    <row r="14" spans="2:12" s="1" customFormat="1" x14ac:dyDescent="0.25">
      <c r="B14" s="244"/>
      <c r="C14" s="245">
        <v>70</v>
      </c>
      <c r="D14" s="245"/>
      <c r="E14" s="895"/>
      <c r="F14" s="66">
        <v>3</v>
      </c>
      <c r="G14" s="891"/>
      <c r="H14" s="896">
        <f t="shared" si="0"/>
        <v>2.9999999999999982E-2</v>
      </c>
      <c r="J14" s="47">
        <v>2.8</v>
      </c>
      <c r="K14" s="897">
        <f t="shared" si="1"/>
        <v>6.6666666666666652E-2</v>
      </c>
      <c r="L14" s="898">
        <f t="shared" si="2"/>
        <v>0.8533333333333335</v>
      </c>
    </row>
    <row r="15" spans="2:12" s="1" customFormat="1" x14ac:dyDescent="0.25">
      <c r="B15" s="244"/>
      <c r="C15" s="245">
        <v>80</v>
      </c>
      <c r="D15" s="245"/>
      <c r="E15" s="895"/>
      <c r="F15" s="66">
        <v>3.3</v>
      </c>
      <c r="G15" s="891"/>
      <c r="H15" s="896">
        <f t="shared" si="0"/>
        <v>3.0000000000000027E-2</v>
      </c>
      <c r="J15" s="47">
        <v>2.9</v>
      </c>
      <c r="K15" s="897">
        <f t="shared" si="1"/>
        <v>6.6666666666666652E-2</v>
      </c>
      <c r="L15" s="898">
        <f t="shared" si="2"/>
        <v>0.86000000000000021</v>
      </c>
    </row>
    <row r="16" spans="2:12" s="1" customFormat="1" x14ac:dyDescent="0.25">
      <c r="B16" s="244"/>
      <c r="C16" s="245">
        <v>90</v>
      </c>
      <c r="D16" s="245"/>
      <c r="E16" s="895"/>
      <c r="F16" s="66">
        <v>3.6</v>
      </c>
      <c r="G16" s="891"/>
      <c r="H16" s="896">
        <f t="shared" si="0"/>
        <v>3.9999999999999994E-2</v>
      </c>
      <c r="J16" s="47">
        <v>3</v>
      </c>
      <c r="K16" s="897">
        <f t="shared" si="1"/>
        <v>6.6666666666666652E-2</v>
      </c>
      <c r="L16" s="898">
        <f t="shared" si="2"/>
        <v>0.86666666666666692</v>
      </c>
    </row>
    <row r="17" spans="2:12" s="1" customFormat="1" ht="15.75" thickBot="1" x14ac:dyDescent="0.3">
      <c r="B17" s="900" t="s">
        <v>74</v>
      </c>
      <c r="C17" s="901">
        <v>100</v>
      </c>
      <c r="D17" s="901"/>
      <c r="E17" s="902"/>
      <c r="F17" s="448">
        <v>4</v>
      </c>
      <c r="G17" s="903"/>
      <c r="H17" s="904">
        <f t="shared" si="0"/>
        <v>0.04</v>
      </c>
      <c r="J17" s="47">
        <v>3.1</v>
      </c>
      <c r="K17" s="897">
        <f t="shared" si="1"/>
        <v>6.6666666666666652E-2</v>
      </c>
      <c r="L17" s="898">
        <f t="shared" si="2"/>
        <v>0.87333333333333363</v>
      </c>
    </row>
    <row r="18" spans="2:12" s="1" customFormat="1" x14ac:dyDescent="0.25">
      <c r="J18" s="47">
        <v>3.2</v>
      </c>
      <c r="K18" s="897">
        <f t="shared" si="1"/>
        <v>6.6666666666666652E-2</v>
      </c>
      <c r="L18" s="898">
        <f t="shared" si="2"/>
        <v>0.88000000000000034</v>
      </c>
    </row>
    <row r="19" spans="2:12" s="1" customFormat="1" x14ac:dyDescent="0.25">
      <c r="J19" s="47">
        <v>3.3</v>
      </c>
      <c r="K19" s="897">
        <f t="shared" si="1"/>
        <v>6.6666666666666652E-2</v>
      </c>
      <c r="L19" s="898">
        <f t="shared" si="2"/>
        <v>0.88666666666666694</v>
      </c>
    </row>
    <row r="20" spans="2:12" s="1" customFormat="1" x14ac:dyDescent="0.25">
      <c r="J20" s="47">
        <v>3.4</v>
      </c>
      <c r="K20" s="897">
        <f t="shared" si="1"/>
        <v>6.6666666666666652E-2</v>
      </c>
      <c r="L20" s="898">
        <f t="shared" si="2"/>
        <v>0.89333333333333365</v>
      </c>
    </row>
    <row r="21" spans="2:12" s="1" customFormat="1" x14ac:dyDescent="0.25">
      <c r="J21" s="47">
        <v>3.5</v>
      </c>
      <c r="K21" s="897">
        <f t="shared" si="1"/>
        <v>6.6666666666666652E-2</v>
      </c>
      <c r="L21" s="898">
        <f t="shared" si="2"/>
        <v>0.90000000000000036</v>
      </c>
    </row>
    <row r="22" spans="2:12" s="1" customFormat="1" x14ac:dyDescent="0.25">
      <c r="J22" s="47">
        <v>3.6</v>
      </c>
      <c r="K22" s="897">
        <f t="shared" si="1"/>
        <v>6.6666666666666652E-2</v>
      </c>
      <c r="L22" s="898">
        <f t="shared" si="2"/>
        <v>0.90666666666666706</v>
      </c>
    </row>
    <row r="23" spans="2:12" s="1" customFormat="1" x14ac:dyDescent="0.25">
      <c r="J23" s="47">
        <v>3.7</v>
      </c>
      <c r="K23" s="897">
        <f t="shared" si="1"/>
        <v>6.6666666666666652E-2</v>
      </c>
      <c r="L23" s="898">
        <f t="shared" si="2"/>
        <v>0.91333333333333377</v>
      </c>
    </row>
    <row r="24" spans="2:12" s="1" customFormat="1" x14ac:dyDescent="0.25">
      <c r="J24" s="47">
        <v>3.8</v>
      </c>
      <c r="K24" s="897">
        <f t="shared" si="1"/>
        <v>6.6666666666666652E-2</v>
      </c>
      <c r="L24" s="898">
        <f t="shared" si="2"/>
        <v>0.92000000000000037</v>
      </c>
    </row>
    <row r="25" spans="2:12" s="1" customFormat="1" x14ac:dyDescent="0.25">
      <c r="J25" s="47">
        <v>3.9</v>
      </c>
      <c r="K25" s="897">
        <f t="shared" si="1"/>
        <v>6.6666666666666652E-2</v>
      </c>
      <c r="L25" s="898">
        <f t="shared" si="2"/>
        <v>0.92666666666666708</v>
      </c>
    </row>
    <row r="26" spans="2:12" s="1" customFormat="1" x14ac:dyDescent="0.25">
      <c r="J26" s="47">
        <v>4</v>
      </c>
      <c r="K26" s="897">
        <f t="shared" si="1"/>
        <v>6.6666666666666652E-2</v>
      </c>
      <c r="L26" s="898">
        <f t="shared" si="2"/>
        <v>0.93333333333333379</v>
      </c>
    </row>
    <row r="27" spans="2:12" s="1" customFormat="1" x14ac:dyDescent="0.25">
      <c r="J27" s="47">
        <v>4.0999999999999996</v>
      </c>
      <c r="K27" s="897">
        <f t="shared" si="1"/>
        <v>6.6666666666666652E-2</v>
      </c>
      <c r="L27" s="898">
        <f t="shared" si="2"/>
        <v>0.94000000000000039</v>
      </c>
    </row>
    <row r="28" spans="2:12" s="1" customFormat="1" x14ac:dyDescent="0.25">
      <c r="J28" s="47">
        <v>4.2</v>
      </c>
      <c r="K28" s="897">
        <f t="shared" si="1"/>
        <v>6.6666666666666652E-2</v>
      </c>
      <c r="L28" s="898">
        <f t="shared" si="2"/>
        <v>0.9466666666666671</v>
      </c>
    </row>
    <row r="29" spans="2:12" s="1" customFormat="1" x14ac:dyDescent="0.25">
      <c r="J29" s="47">
        <v>4.3</v>
      </c>
      <c r="K29" s="897">
        <f t="shared" si="1"/>
        <v>6.6666666666666652E-2</v>
      </c>
      <c r="L29" s="898">
        <f t="shared" si="2"/>
        <v>0.9533333333333337</v>
      </c>
    </row>
    <row r="30" spans="2:12" s="1" customFormat="1" x14ac:dyDescent="0.25">
      <c r="J30" s="47">
        <v>4.4000000000000004</v>
      </c>
      <c r="K30" s="897">
        <f t="shared" si="1"/>
        <v>6.6666666666666652E-2</v>
      </c>
      <c r="L30" s="898">
        <f t="shared" si="2"/>
        <v>0.96000000000000041</v>
      </c>
    </row>
    <row r="31" spans="2:12" s="1" customFormat="1" x14ac:dyDescent="0.25">
      <c r="J31" s="47">
        <v>4.5</v>
      </c>
      <c r="K31" s="897">
        <f t="shared" si="1"/>
        <v>6.6666666666666652E-2</v>
      </c>
      <c r="L31" s="898">
        <f t="shared" si="2"/>
        <v>0.96666666666666701</v>
      </c>
    </row>
    <row r="32" spans="2:12" s="1" customFormat="1" x14ac:dyDescent="0.25">
      <c r="J32" s="47">
        <v>4.5999999999999996</v>
      </c>
      <c r="K32" s="897">
        <f t="shared" si="1"/>
        <v>6.6666666666666652E-2</v>
      </c>
      <c r="L32" s="898">
        <f t="shared" si="2"/>
        <v>0.97333333333333361</v>
      </c>
    </row>
    <row r="33" spans="10:12" s="1" customFormat="1" x14ac:dyDescent="0.25">
      <c r="J33" s="47">
        <v>4.7</v>
      </c>
      <c r="K33" s="897">
        <f t="shared" si="1"/>
        <v>6.6666666666666652E-2</v>
      </c>
      <c r="L33" s="898">
        <f t="shared" si="2"/>
        <v>0.98000000000000032</v>
      </c>
    </row>
    <row r="34" spans="10:12" s="1" customFormat="1" x14ac:dyDescent="0.25">
      <c r="J34" s="47">
        <v>4.8</v>
      </c>
      <c r="K34" s="897">
        <f t="shared" si="1"/>
        <v>6.6666666666666652E-2</v>
      </c>
      <c r="L34" s="898">
        <f t="shared" si="2"/>
        <v>0.98666666666666691</v>
      </c>
    </row>
    <row r="35" spans="10:12" s="1" customFormat="1" x14ac:dyDescent="0.25">
      <c r="J35" s="47">
        <v>4.9000000000000004</v>
      </c>
      <c r="K35" s="897">
        <f t="shared" si="1"/>
        <v>6.6666666666666652E-2</v>
      </c>
      <c r="L35" s="898">
        <f t="shared" si="2"/>
        <v>0.99333333333333362</v>
      </c>
    </row>
    <row r="36" spans="10:12" s="1" customFormat="1" x14ac:dyDescent="0.25">
      <c r="J36" s="47">
        <v>5</v>
      </c>
      <c r="K36" s="897">
        <f t="shared" si="1"/>
        <v>3.9999999999999994E-2</v>
      </c>
      <c r="L36" s="898">
        <v>1</v>
      </c>
    </row>
    <row r="37" spans="10:12" s="1" customFormat="1" x14ac:dyDescent="0.25">
      <c r="J37" s="47">
        <v>5.0999999999999996</v>
      </c>
      <c r="K37" s="897">
        <f t="shared" si="1"/>
        <v>3.9999999999999994E-2</v>
      </c>
      <c r="L37" s="898">
        <f t="shared" ref="L37:L68" si="3">L36+(K37)*(J37-J36)</f>
        <v>1.004</v>
      </c>
    </row>
    <row r="38" spans="10:12" s="1" customFormat="1" x14ac:dyDescent="0.25">
      <c r="J38" s="47">
        <v>5.2</v>
      </c>
      <c r="K38" s="897">
        <f t="shared" si="1"/>
        <v>3.9999999999999994E-2</v>
      </c>
      <c r="L38" s="898">
        <f t="shared" si="3"/>
        <v>1.008</v>
      </c>
    </row>
    <row r="39" spans="10:12" s="1" customFormat="1" x14ac:dyDescent="0.25">
      <c r="J39" s="47">
        <v>5.3</v>
      </c>
      <c r="K39" s="897">
        <f t="shared" si="1"/>
        <v>3.9999999999999994E-2</v>
      </c>
      <c r="L39" s="898">
        <f t="shared" si="3"/>
        <v>1.012</v>
      </c>
    </row>
    <row r="40" spans="10:12" s="1" customFormat="1" x14ac:dyDescent="0.25">
      <c r="J40" s="47">
        <v>5.4</v>
      </c>
      <c r="K40" s="897">
        <f t="shared" si="1"/>
        <v>3.9999999999999994E-2</v>
      </c>
      <c r="L40" s="898">
        <f t="shared" si="3"/>
        <v>1.016</v>
      </c>
    </row>
    <row r="41" spans="10:12" s="1" customFormat="1" x14ac:dyDescent="0.25">
      <c r="J41" s="47">
        <v>5.5</v>
      </c>
      <c r="K41" s="897">
        <f t="shared" si="1"/>
        <v>3.9999999999999994E-2</v>
      </c>
      <c r="L41" s="898">
        <f t="shared" si="3"/>
        <v>1.02</v>
      </c>
    </row>
    <row r="42" spans="10:12" s="1" customFormat="1" x14ac:dyDescent="0.25">
      <c r="J42" s="47">
        <v>5.6</v>
      </c>
      <c r="K42" s="897">
        <f t="shared" si="1"/>
        <v>3.9999999999999994E-2</v>
      </c>
      <c r="L42" s="898">
        <f t="shared" si="3"/>
        <v>1.024</v>
      </c>
    </row>
    <row r="43" spans="10:12" s="1" customFormat="1" x14ac:dyDescent="0.25">
      <c r="J43" s="47">
        <v>5.7</v>
      </c>
      <c r="K43" s="897">
        <f t="shared" si="1"/>
        <v>3.9999999999999994E-2</v>
      </c>
      <c r="L43" s="898">
        <f t="shared" si="3"/>
        <v>1.028</v>
      </c>
    </row>
    <row r="44" spans="10:12" s="1" customFormat="1" x14ac:dyDescent="0.25">
      <c r="J44" s="47">
        <v>5.8</v>
      </c>
      <c r="K44" s="897">
        <f t="shared" si="1"/>
        <v>3.9999999999999994E-2</v>
      </c>
      <c r="L44" s="898">
        <f t="shared" si="3"/>
        <v>1.032</v>
      </c>
    </row>
    <row r="45" spans="10:12" s="1" customFormat="1" x14ac:dyDescent="0.25">
      <c r="J45" s="47">
        <v>5.9</v>
      </c>
      <c r="K45" s="897">
        <f t="shared" si="1"/>
        <v>3.9999999999999994E-2</v>
      </c>
      <c r="L45" s="898">
        <f t="shared" si="3"/>
        <v>1.036</v>
      </c>
    </row>
    <row r="46" spans="10:12" s="1" customFormat="1" x14ac:dyDescent="0.25">
      <c r="J46" s="47">
        <v>6</v>
      </c>
      <c r="K46" s="897">
        <f t="shared" si="1"/>
        <v>3.9999999999999994E-2</v>
      </c>
      <c r="L46" s="898">
        <f t="shared" si="3"/>
        <v>1.04</v>
      </c>
    </row>
    <row r="47" spans="10:12" s="1" customFormat="1" x14ac:dyDescent="0.25">
      <c r="J47" s="47">
        <v>6.1</v>
      </c>
      <c r="K47" s="897">
        <f t="shared" si="1"/>
        <v>3.9999999999999994E-2</v>
      </c>
      <c r="L47" s="898">
        <f t="shared" si="3"/>
        <v>1.044</v>
      </c>
    </row>
    <row r="48" spans="10:12" s="1" customFormat="1" x14ac:dyDescent="0.25">
      <c r="J48" s="47">
        <v>6.2</v>
      </c>
      <c r="K48" s="897">
        <f t="shared" si="1"/>
        <v>3.9999999999999994E-2</v>
      </c>
      <c r="L48" s="898">
        <f t="shared" si="3"/>
        <v>1.048</v>
      </c>
    </row>
    <row r="49" spans="10:12" s="1" customFormat="1" x14ac:dyDescent="0.25">
      <c r="J49" s="47">
        <v>6.3</v>
      </c>
      <c r="K49" s="897">
        <f t="shared" si="1"/>
        <v>3.9999999999999994E-2</v>
      </c>
      <c r="L49" s="898">
        <f t="shared" si="3"/>
        <v>1.052</v>
      </c>
    </row>
    <row r="50" spans="10:12" s="1" customFormat="1" x14ac:dyDescent="0.25">
      <c r="J50" s="47">
        <v>6.4</v>
      </c>
      <c r="K50" s="897">
        <f t="shared" si="1"/>
        <v>3.9999999999999994E-2</v>
      </c>
      <c r="L50" s="898">
        <f t="shared" si="3"/>
        <v>1.056</v>
      </c>
    </row>
    <row r="51" spans="10:12" s="1" customFormat="1" x14ac:dyDescent="0.25">
      <c r="J51" s="47">
        <v>6.5</v>
      </c>
      <c r="K51" s="897">
        <f t="shared" si="1"/>
        <v>3.9999999999999994E-2</v>
      </c>
      <c r="L51" s="898">
        <f t="shared" si="3"/>
        <v>1.06</v>
      </c>
    </row>
    <row r="52" spans="10:12" s="1" customFormat="1" x14ac:dyDescent="0.25">
      <c r="J52" s="47">
        <v>6.6</v>
      </c>
      <c r="K52" s="897">
        <f t="shared" si="1"/>
        <v>3.9999999999999994E-2</v>
      </c>
      <c r="L52" s="898">
        <f t="shared" si="3"/>
        <v>1.0640000000000001</v>
      </c>
    </row>
    <row r="53" spans="10:12" s="1" customFormat="1" x14ac:dyDescent="0.25">
      <c r="J53" s="47">
        <v>6.7</v>
      </c>
      <c r="K53" s="897">
        <f t="shared" si="1"/>
        <v>3.9999999999999994E-2</v>
      </c>
      <c r="L53" s="898">
        <f t="shared" si="3"/>
        <v>1.0680000000000001</v>
      </c>
    </row>
    <row r="54" spans="10:12" s="1" customFormat="1" x14ac:dyDescent="0.25">
      <c r="J54" s="47">
        <v>6.8</v>
      </c>
      <c r="K54" s="897">
        <f t="shared" si="1"/>
        <v>3.9999999999999994E-2</v>
      </c>
      <c r="L54" s="898">
        <f t="shared" si="3"/>
        <v>1.0720000000000001</v>
      </c>
    </row>
    <row r="55" spans="10:12" s="1" customFormat="1" x14ac:dyDescent="0.25">
      <c r="J55" s="47">
        <v>6.9</v>
      </c>
      <c r="K55" s="897">
        <f t="shared" si="1"/>
        <v>3.9999999999999994E-2</v>
      </c>
      <c r="L55" s="898">
        <f t="shared" si="3"/>
        <v>1.0760000000000001</v>
      </c>
    </row>
    <row r="56" spans="10:12" s="1" customFormat="1" x14ac:dyDescent="0.25">
      <c r="J56" s="47">
        <v>7</v>
      </c>
      <c r="K56" s="897">
        <f t="shared" si="1"/>
        <v>3.9999999999999994E-2</v>
      </c>
      <c r="L56" s="898">
        <f t="shared" si="3"/>
        <v>1.08</v>
      </c>
    </row>
    <row r="57" spans="10:12" s="1" customFormat="1" x14ac:dyDescent="0.25">
      <c r="J57" s="47">
        <v>7.1</v>
      </c>
      <c r="K57" s="897">
        <f t="shared" si="1"/>
        <v>3.9999999999999994E-2</v>
      </c>
      <c r="L57" s="898">
        <f t="shared" si="3"/>
        <v>1.0840000000000001</v>
      </c>
    </row>
    <row r="58" spans="10:12" s="1" customFormat="1" x14ac:dyDescent="0.25">
      <c r="J58" s="47">
        <v>7.2</v>
      </c>
      <c r="K58" s="897">
        <f t="shared" si="1"/>
        <v>3.9999999999999994E-2</v>
      </c>
      <c r="L58" s="898">
        <f t="shared" si="3"/>
        <v>1.0880000000000001</v>
      </c>
    </row>
    <row r="59" spans="10:12" s="1" customFormat="1" x14ac:dyDescent="0.25">
      <c r="J59" s="47">
        <v>7.3</v>
      </c>
      <c r="K59" s="897">
        <f t="shared" si="1"/>
        <v>3.9999999999999994E-2</v>
      </c>
      <c r="L59" s="898">
        <f t="shared" si="3"/>
        <v>1.0920000000000001</v>
      </c>
    </row>
    <row r="60" spans="10:12" s="1" customFormat="1" x14ac:dyDescent="0.25">
      <c r="J60" s="47">
        <v>7.4</v>
      </c>
      <c r="K60" s="897">
        <f t="shared" si="1"/>
        <v>3.9999999999999994E-2</v>
      </c>
      <c r="L60" s="898">
        <f t="shared" si="3"/>
        <v>1.0960000000000001</v>
      </c>
    </row>
    <row r="61" spans="10:12" s="1" customFormat="1" x14ac:dyDescent="0.25">
      <c r="J61" s="47">
        <v>7.5</v>
      </c>
      <c r="K61" s="897">
        <f t="shared" si="1"/>
        <v>3.9999999999999994E-2</v>
      </c>
      <c r="L61" s="898">
        <f t="shared" si="3"/>
        <v>1.1000000000000001</v>
      </c>
    </row>
    <row r="62" spans="10:12" s="1" customFormat="1" x14ac:dyDescent="0.25">
      <c r="J62" s="47">
        <v>7.6</v>
      </c>
      <c r="K62" s="897">
        <f t="shared" si="1"/>
        <v>3.9999999999999994E-2</v>
      </c>
      <c r="L62" s="898">
        <f t="shared" si="3"/>
        <v>1.1040000000000001</v>
      </c>
    </row>
    <row r="63" spans="10:12" s="1" customFormat="1" x14ac:dyDescent="0.25">
      <c r="J63" s="47">
        <v>7.7</v>
      </c>
      <c r="K63" s="897">
        <f t="shared" si="1"/>
        <v>3.9999999999999994E-2</v>
      </c>
      <c r="L63" s="898">
        <f t="shared" si="3"/>
        <v>1.1080000000000001</v>
      </c>
    </row>
    <row r="64" spans="10:12" s="1" customFormat="1" x14ac:dyDescent="0.25">
      <c r="J64" s="47">
        <v>7.8</v>
      </c>
      <c r="K64" s="897">
        <f t="shared" si="1"/>
        <v>3.9999999999999994E-2</v>
      </c>
      <c r="L64" s="898">
        <f t="shared" si="3"/>
        <v>1.1120000000000001</v>
      </c>
    </row>
    <row r="65" spans="10:12" s="1" customFormat="1" x14ac:dyDescent="0.25">
      <c r="J65" s="47">
        <v>7.9</v>
      </c>
      <c r="K65" s="897">
        <f t="shared" si="1"/>
        <v>3.9999999999999994E-2</v>
      </c>
      <c r="L65" s="898">
        <f t="shared" si="3"/>
        <v>1.1160000000000001</v>
      </c>
    </row>
    <row r="66" spans="10:12" s="1" customFormat="1" x14ac:dyDescent="0.25">
      <c r="J66" s="47">
        <v>8</v>
      </c>
      <c r="K66" s="897">
        <f t="shared" si="1"/>
        <v>3.9999999999999994E-2</v>
      </c>
      <c r="L66" s="898">
        <f t="shared" si="3"/>
        <v>1.1200000000000001</v>
      </c>
    </row>
    <row r="67" spans="10:12" s="1" customFormat="1" x14ac:dyDescent="0.25">
      <c r="J67" s="47">
        <v>8.1</v>
      </c>
      <c r="K67" s="897">
        <f t="shared" si="1"/>
        <v>3.9999999999999994E-2</v>
      </c>
      <c r="L67" s="898">
        <f t="shared" si="3"/>
        <v>1.1240000000000001</v>
      </c>
    </row>
    <row r="68" spans="10:12" s="1" customFormat="1" x14ac:dyDescent="0.25">
      <c r="J68" s="47">
        <v>8.1999999999999993</v>
      </c>
      <c r="K68" s="897">
        <f t="shared" si="1"/>
        <v>3.9999999999999994E-2</v>
      </c>
      <c r="L68" s="898">
        <f t="shared" si="3"/>
        <v>1.1280000000000001</v>
      </c>
    </row>
    <row r="69" spans="10:12" s="1" customFormat="1" x14ac:dyDescent="0.25">
      <c r="J69" s="47">
        <v>8.3000000000000007</v>
      </c>
      <c r="K69" s="897">
        <f t="shared" si="1"/>
        <v>3.9999999999999994E-2</v>
      </c>
      <c r="L69" s="898">
        <f t="shared" ref="L69:L85" si="4">L68+(K69)*(J69-J68)</f>
        <v>1.1320000000000001</v>
      </c>
    </row>
    <row r="70" spans="10:12" s="1" customFormat="1" x14ac:dyDescent="0.25">
      <c r="J70" s="47">
        <v>8.4</v>
      </c>
      <c r="K70" s="897">
        <f t="shared" ref="K70:K133" si="5">LOOKUP(J70,$C$6:$C$17,$H$6:$H$17)</f>
        <v>3.9999999999999994E-2</v>
      </c>
      <c r="L70" s="898">
        <f t="shared" si="4"/>
        <v>1.1360000000000001</v>
      </c>
    </row>
    <row r="71" spans="10:12" s="1" customFormat="1" x14ac:dyDescent="0.25">
      <c r="J71" s="47">
        <v>8.5</v>
      </c>
      <c r="K71" s="897">
        <f t="shared" si="5"/>
        <v>3.9999999999999994E-2</v>
      </c>
      <c r="L71" s="898">
        <f t="shared" si="4"/>
        <v>1.1400000000000001</v>
      </c>
    </row>
    <row r="72" spans="10:12" s="1" customFormat="1" x14ac:dyDescent="0.25">
      <c r="J72" s="47">
        <v>8.6</v>
      </c>
      <c r="K72" s="897">
        <f t="shared" si="5"/>
        <v>3.9999999999999994E-2</v>
      </c>
      <c r="L72" s="898">
        <f t="shared" si="4"/>
        <v>1.1440000000000001</v>
      </c>
    </row>
    <row r="73" spans="10:12" s="1" customFormat="1" x14ac:dyDescent="0.25">
      <c r="J73" s="47">
        <v>8.6999999999999993</v>
      </c>
      <c r="K73" s="897">
        <f t="shared" si="5"/>
        <v>3.9999999999999994E-2</v>
      </c>
      <c r="L73" s="898">
        <f t="shared" si="4"/>
        <v>1.1480000000000001</v>
      </c>
    </row>
    <row r="74" spans="10:12" s="1" customFormat="1" x14ac:dyDescent="0.25">
      <c r="J74" s="47">
        <v>8.8000000000000007</v>
      </c>
      <c r="K74" s="897">
        <f t="shared" si="5"/>
        <v>3.9999999999999994E-2</v>
      </c>
      <c r="L74" s="898">
        <f t="shared" si="4"/>
        <v>1.1520000000000001</v>
      </c>
    </row>
    <row r="75" spans="10:12" s="1" customFormat="1" x14ac:dyDescent="0.25">
      <c r="J75" s="47">
        <v>8.9</v>
      </c>
      <c r="K75" s="897">
        <f t="shared" si="5"/>
        <v>3.9999999999999994E-2</v>
      </c>
      <c r="L75" s="898">
        <f t="shared" si="4"/>
        <v>1.1560000000000001</v>
      </c>
    </row>
    <row r="76" spans="10:12" s="1" customFormat="1" x14ac:dyDescent="0.25">
      <c r="J76" s="47">
        <v>9</v>
      </c>
      <c r="K76" s="897">
        <f t="shared" si="5"/>
        <v>3.9999999999999994E-2</v>
      </c>
      <c r="L76" s="898">
        <f t="shared" si="4"/>
        <v>1.1600000000000001</v>
      </c>
    </row>
    <row r="77" spans="10:12" s="1" customFormat="1" x14ac:dyDescent="0.25">
      <c r="J77" s="47">
        <v>9.1</v>
      </c>
      <c r="K77" s="897">
        <f t="shared" si="5"/>
        <v>3.9999999999999994E-2</v>
      </c>
      <c r="L77" s="898">
        <f t="shared" si="4"/>
        <v>1.1640000000000001</v>
      </c>
    </row>
    <row r="78" spans="10:12" s="1" customFormat="1" x14ac:dyDescent="0.25">
      <c r="J78" s="47">
        <v>9.1999999999999993</v>
      </c>
      <c r="K78" s="897">
        <f t="shared" si="5"/>
        <v>3.9999999999999994E-2</v>
      </c>
      <c r="L78" s="898">
        <f t="shared" si="4"/>
        <v>1.1680000000000001</v>
      </c>
    </row>
    <row r="79" spans="10:12" s="1" customFormat="1" x14ac:dyDescent="0.25">
      <c r="J79" s="47">
        <v>9.3000000000000007</v>
      </c>
      <c r="K79" s="897">
        <f t="shared" si="5"/>
        <v>3.9999999999999994E-2</v>
      </c>
      <c r="L79" s="898">
        <f t="shared" si="4"/>
        <v>1.1720000000000002</v>
      </c>
    </row>
    <row r="80" spans="10:12" s="1" customFormat="1" x14ac:dyDescent="0.25">
      <c r="J80" s="47">
        <v>9.4</v>
      </c>
      <c r="K80" s="897">
        <f t="shared" si="5"/>
        <v>3.9999999999999994E-2</v>
      </c>
      <c r="L80" s="898">
        <f t="shared" si="4"/>
        <v>1.1760000000000002</v>
      </c>
    </row>
    <row r="81" spans="10:12" s="1" customFormat="1" x14ac:dyDescent="0.25">
      <c r="J81" s="47">
        <v>9.5</v>
      </c>
      <c r="K81" s="897">
        <f t="shared" si="5"/>
        <v>3.9999999999999994E-2</v>
      </c>
      <c r="L81" s="898">
        <f t="shared" si="4"/>
        <v>1.1800000000000002</v>
      </c>
    </row>
    <row r="82" spans="10:12" s="1" customFormat="1" x14ac:dyDescent="0.25">
      <c r="J82" s="47">
        <v>9.6</v>
      </c>
      <c r="K82" s="897">
        <f t="shared" si="5"/>
        <v>3.9999999999999994E-2</v>
      </c>
      <c r="L82" s="898">
        <f t="shared" si="4"/>
        <v>1.1840000000000002</v>
      </c>
    </row>
    <row r="83" spans="10:12" s="1" customFormat="1" x14ac:dyDescent="0.25">
      <c r="J83" s="47">
        <v>9.6999999999999993</v>
      </c>
      <c r="K83" s="897">
        <f t="shared" si="5"/>
        <v>3.9999999999999994E-2</v>
      </c>
      <c r="L83" s="898">
        <f t="shared" si="4"/>
        <v>1.1880000000000002</v>
      </c>
    </row>
    <row r="84" spans="10:12" s="1" customFormat="1" x14ac:dyDescent="0.25">
      <c r="J84" s="47">
        <v>9.8000000000000007</v>
      </c>
      <c r="K84" s="897">
        <f t="shared" si="5"/>
        <v>3.9999999999999994E-2</v>
      </c>
      <c r="L84" s="898">
        <f t="shared" si="4"/>
        <v>1.1920000000000002</v>
      </c>
    </row>
    <row r="85" spans="10:12" s="1" customFormat="1" x14ac:dyDescent="0.25">
      <c r="J85" s="47">
        <v>9.9</v>
      </c>
      <c r="K85" s="897">
        <f t="shared" si="5"/>
        <v>3.9999999999999994E-2</v>
      </c>
      <c r="L85" s="898">
        <f t="shared" si="4"/>
        <v>1.1960000000000002</v>
      </c>
    </row>
    <row r="86" spans="10:12" s="1" customFormat="1" x14ac:dyDescent="0.25">
      <c r="J86" s="47">
        <v>10</v>
      </c>
      <c r="K86" s="897">
        <f t="shared" si="5"/>
        <v>3.0000000000000006E-2</v>
      </c>
      <c r="L86" s="898">
        <v>1.2</v>
      </c>
    </row>
    <row r="87" spans="10:12" s="1" customFormat="1" x14ac:dyDescent="0.25">
      <c r="J87" s="47">
        <v>10.1</v>
      </c>
      <c r="K87" s="897">
        <f t="shared" si="5"/>
        <v>3.0000000000000006E-2</v>
      </c>
      <c r="L87" s="898">
        <f t="shared" ref="L87:L118" si="6">L86+(K87)*(J87-J86)</f>
        <v>1.2029999999999998</v>
      </c>
    </row>
    <row r="88" spans="10:12" s="1" customFormat="1" x14ac:dyDescent="0.25">
      <c r="J88" s="47">
        <v>10.199999999999999</v>
      </c>
      <c r="K88" s="897">
        <f t="shared" si="5"/>
        <v>3.0000000000000006E-2</v>
      </c>
      <c r="L88" s="898">
        <f t="shared" si="6"/>
        <v>1.2059999999999997</v>
      </c>
    </row>
    <row r="89" spans="10:12" s="1" customFormat="1" x14ac:dyDescent="0.25">
      <c r="J89" s="47">
        <v>10.3</v>
      </c>
      <c r="K89" s="897">
        <f t="shared" si="5"/>
        <v>3.0000000000000006E-2</v>
      </c>
      <c r="L89" s="898">
        <f t="shared" si="6"/>
        <v>1.2089999999999999</v>
      </c>
    </row>
    <row r="90" spans="10:12" s="1" customFormat="1" x14ac:dyDescent="0.25">
      <c r="J90" s="47">
        <v>10.4</v>
      </c>
      <c r="K90" s="897">
        <f t="shared" si="5"/>
        <v>3.0000000000000006E-2</v>
      </c>
      <c r="L90" s="898">
        <f t="shared" si="6"/>
        <v>1.2119999999999997</v>
      </c>
    </row>
    <row r="91" spans="10:12" s="1" customFormat="1" x14ac:dyDescent="0.25">
      <c r="J91" s="47">
        <v>10.5</v>
      </c>
      <c r="K91" s="897">
        <f t="shared" si="5"/>
        <v>3.0000000000000006E-2</v>
      </c>
      <c r="L91" s="898">
        <f t="shared" si="6"/>
        <v>1.2149999999999996</v>
      </c>
    </row>
    <row r="92" spans="10:12" s="1" customFormat="1" x14ac:dyDescent="0.25">
      <c r="J92" s="47">
        <v>10.6</v>
      </c>
      <c r="K92" s="897">
        <f t="shared" si="5"/>
        <v>3.0000000000000006E-2</v>
      </c>
      <c r="L92" s="898">
        <f t="shared" si="6"/>
        <v>1.2179999999999995</v>
      </c>
    </row>
    <row r="93" spans="10:12" s="1" customFormat="1" x14ac:dyDescent="0.25">
      <c r="J93" s="47">
        <v>10.7</v>
      </c>
      <c r="K93" s="897">
        <f t="shared" si="5"/>
        <v>3.0000000000000006E-2</v>
      </c>
      <c r="L93" s="898">
        <f t="shared" si="6"/>
        <v>1.2209999999999994</v>
      </c>
    </row>
    <row r="94" spans="10:12" s="1" customFormat="1" x14ac:dyDescent="0.25">
      <c r="J94" s="47">
        <v>10.8</v>
      </c>
      <c r="K94" s="897">
        <f t="shared" si="5"/>
        <v>3.0000000000000006E-2</v>
      </c>
      <c r="L94" s="898">
        <f t="shared" si="6"/>
        <v>1.2239999999999995</v>
      </c>
    </row>
    <row r="95" spans="10:12" s="1" customFormat="1" x14ac:dyDescent="0.25">
      <c r="J95" s="47">
        <v>10.9</v>
      </c>
      <c r="K95" s="897">
        <f t="shared" si="5"/>
        <v>3.0000000000000006E-2</v>
      </c>
      <c r="L95" s="898">
        <f t="shared" si="6"/>
        <v>1.2269999999999994</v>
      </c>
    </row>
    <row r="96" spans="10:12" s="1" customFormat="1" x14ac:dyDescent="0.25">
      <c r="J96" s="47">
        <v>11</v>
      </c>
      <c r="K96" s="897">
        <f t="shared" si="5"/>
        <v>3.0000000000000006E-2</v>
      </c>
      <c r="L96" s="898">
        <f t="shared" si="6"/>
        <v>1.2299999999999993</v>
      </c>
    </row>
    <row r="97" spans="10:12" s="1" customFormat="1" x14ac:dyDescent="0.25">
      <c r="J97" s="47">
        <v>11.1</v>
      </c>
      <c r="K97" s="897">
        <f t="shared" si="5"/>
        <v>3.0000000000000006E-2</v>
      </c>
      <c r="L97" s="898">
        <f t="shared" si="6"/>
        <v>1.2329999999999992</v>
      </c>
    </row>
    <row r="98" spans="10:12" s="1" customFormat="1" x14ac:dyDescent="0.25">
      <c r="J98" s="47">
        <v>11.2</v>
      </c>
      <c r="K98" s="897">
        <f t="shared" si="5"/>
        <v>3.0000000000000006E-2</v>
      </c>
      <c r="L98" s="898">
        <f t="shared" si="6"/>
        <v>1.2359999999999991</v>
      </c>
    </row>
    <row r="99" spans="10:12" s="1" customFormat="1" x14ac:dyDescent="0.25">
      <c r="J99" s="47">
        <v>11.3</v>
      </c>
      <c r="K99" s="897">
        <f t="shared" si="5"/>
        <v>3.0000000000000006E-2</v>
      </c>
      <c r="L99" s="898">
        <f t="shared" si="6"/>
        <v>1.2389999999999992</v>
      </c>
    </row>
    <row r="100" spans="10:12" s="1" customFormat="1" x14ac:dyDescent="0.25">
      <c r="J100" s="47">
        <v>11.4</v>
      </c>
      <c r="K100" s="897">
        <f t="shared" si="5"/>
        <v>3.0000000000000006E-2</v>
      </c>
      <c r="L100" s="898">
        <f t="shared" si="6"/>
        <v>1.2419999999999991</v>
      </c>
    </row>
    <row r="101" spans="10:12" s="1" customFormat="1" x14ac:dyDescent="0.25">
      <c r="J101" s="47">
        <v>11.5</v>
      </c>
      <c r="K101" s="897">
        <f t="shared" si="5"/>
        <v>3.0000000000000006E-2</v>
      </c>
      <c r="L101" s="898">
        <f t="shared" si="6"/>
        <v>1.244999999999999</v>
      </c>
    </row>
    <row r="102" spans="10:12" s="1" customFormat="1" x14ac:dyDescent="0.25">
      <c r="J102" s="47">
        <v>11.6</v>
      </c>
      <c r="K102" s="897">
        <f t="shared" si="5"/>
        <v>3.0000000000000006E-2</v>
      </c>
      <c r="L102" s="898">
        <f t="shared" si="6"/>
        <v>1.2479999999999989</v>
      </c>
    </row>
    <row r="103" spans="10:12" s="1" customFormat="1" x14ac:dyDescent="0.25">
      <c r="J103" s="47">
        <v>11.7</v>
      </c>
      <c r="K103" s="897">
        <f t="shared" si="5"/>
        <v>3.0000000000000006E-2</v>
      </c>
      <c r="L103" s="898">
        <f t="shared" si="6"/>
        <v>1.2509999999999988</v>
      </c>
    </row>
    <row r="104" spans="10:12" s="1" customFormat="1" x14ac:dyDescent="0.25">
      <c r="J104" s="47">
        <v>11.8</v>
      </c>
      <c r="K104" s="897">
        <f t="shared" si="5"/>
        <v>3.0000000000000006E-2</v>
      </c>
      <c r="L104" s="898">
        <f t="shared" si="6"/>
        <v>1.2539999999999989</v>
      </c>
    </row>
    <row r="105" spans="10:12" s="1" customFormat="1" x14ac:dyDescent="0.25">
      <c r="J105" s="47">
        <v>11.9</v>
      </c>
      <c r="K105" s="897">
        <f t="shared" si="5"/>
        <v>3.0000000000000006E-2</v>
      </c>
      <c r="L105" s="898">
        <f t="shared" si="6"/>
        <v>1.2569999999999988</v>
      </c>
    </row>
    <row r="106" spans="10:12" s="1" customFormat="1" x14ac:dyDescent="0.25">
      <c r="J106" s="47">
        <v>12</v>
      </c>
      <c r="K106" s="897">
        <f t="shared" si="5"/>
        <v>3.0000000000000006E-2</v>
      </c>
      <c r="L106" s="898">
        <f t="shared" si="6"/>
        <v>1.2599999999999987</v>
      </c>
    </row>
    <row r="107" spans="10:12" s="1" customFormat="1" x14ac:dyDescent="0.25">
      <c r="J107" s="47">
        <v>12.1</v>
      </c>
      <c r="K107" s="897">
        <f t="shared" si="5"/>
        <v>3.0000000000000006E-2</v>
      </c>
      <c r="L107" s="898">
        <f t="shared" si="6"/>
        <v>1.2629999999999986</v>
      </c>
    </row>
    <row r="108" spans="10:12" s="1" customFormat="1" x14ac:dyDescent="0.25">
      <c r="J108" s="47">
        <v>12.2</v>
      </c>
      <c r="K108" s="897">
        <f t="shared" si="5"/>
        <v>3.0000000000000006E-2</v>
      </c>
      <c r="L108" s="898">
        <f t="shared" si="6"/>
        <v>1.2659999999999985</v>
      </c>
    </row>
    <row r="109" spans="10:12" s="1" customFormat="1" x14ac:dyDescent="0.25">
      <c r="J109" s="47">
        <v>12.3</v>
      </c>
      <c r="K109" s="897">
        <f t="shared" si="5"/>
        <v>3.0000000000000006E-2</v>
      </c>
      <c r="L109" s="898">
        <f t="shared" si="6"/>
        <v>1.2689999999999986</v>
      </c>
    </row>
    <row r="110" spans="10:12" s="1" customFormat="1" x14ac:dyDescent="0.25">
      <c r="J110" s="47">
        <v>12.4</v>
      </c>
      <c r="K110" s="897">
        <f t="shared" si="5"/>
        <v>3.0000000000000006E-2</v>
      </c>
      <c r="L110" s="898">
        <f t="shared" si="6"/>
        <v>1.2719999999999985</v>
      </c>
    </row>
    <row r="111" spans="10:12" s="1" customFormat="1" x14ac:dyDescent="0.25">
      <c r="J111" s="47">
        <v>12.5</v>
      </c>
      <c r="K111" s="897">
        <f t="shared" si="5"/>
        <v>3.0000000000000006E-2</v>
      </c>
      <c r="L111" s="898">
        <f t="shared" si="6"/>
        <v>1.2749999999999984</v>
      </c>
    </row>
    <row r="112" spans="10:12" s="1" customFormat="1" x14ac:dyDescent="0.25">
      <c r="J112" s="47">
        <v>12.6</v>
      </c>
      <c r="K112" s="897">
        <f t="shared" si="5"/>
        <v>3.0000000000000006E-2</v>
      </c>
      <c r="L112" s="898">
        <f t="shared" si="6"/>
        <v>1.2779999999999982</v>
      </c>
    </row>
    <row r="113" spans="10:12" s="1" customFormat="1" x14ac:dyDescent="0.25">
      <c r="J113" s="47">
        <v>12.7</v>
      </c>
      <c r="K113" s="897">
        <f t="shared" si="5"/>
        <v>3.0000000000000006E-2</v>
      </c>
      <c r="L113" s="898">
        <f t="shared" si="6"/>
        <v>1.2809999999999981</v>
      </c>
    </row>
    <row r="114" spans="10:12" s="1" customFormat="1" x14ac:dyDescent="0.25">
      <c r="J114" s="47">
        <v>12.8</v>
      </c>
      <c r="K114" s="897">
        <f t="shared" si="5"/>
        <v>3.0000000000000006E-2</v>
      </c>
      <c r="L114" s="898">
        <f t="shared" si="6"/>
        <v>1.2839999999999983</v>
      </c>
    </row>
    <row r="115" spans="10:12" s="1" customFormat="1" x14ac:dyDescent="0.25">
      <c r="J115" s="47">
        <v>12.9</v>
      </c>
      <c r="K115" s="897">
        <f t="shared" si="5"/>
        <v>3.0000000000000006E-2</v>
      </c>
      <c r="L115" s="898">
        <f t="shared" si="6"/>
        <v>1.2869999999999981</v>
      </c>
    </row>
    <row r="116" spans="10:12" s="1" customFormat="1" x14ac:dyDescent="0.25">
      <c r="J116" s="47">
        <v>13</v>
      </c>
      <c r="K116" s="897">
        <f t="shared" si="5"/>
        <v>3.0000000000000006E-2</v>
      </c>
      <c r="L116" s="898">
        <f t="shared" si="6"/>
        <v>1.289999999999998</v>
      </c>
    </row>
    <row r="117" spans="10:12" s="1" customFormat="1" x14ac:dyDescent="0.25">
      <c r="J117" s="47">
        <v>13.1</v>
      </c>
      <c r="K117" s="897">
        <f t="shared" si="5"/>
        <v>3.0000000000000006E-2</v>
      </c>
      <c r="L117" s="898">
        <f t="shared" si="6"/>
        <v>1.2929999999999979</v>
      </c>
    </row>
    <row r="118" spans="10:12" s="1" customFormat="1" x14ac:dyDescent="0.25">
      <c r="J118" s="47">
        <v>13.2</v>
      </c>
      <c r="K118" s="897">
        <f t="shared" si="5"/>
        <v>3.0000000000000006E-2</v>
      </c>
      <c r="L118" s="898">
        <f t="shared" si="6"/>
        <v>1.2959999999999978</v>
      </c>
    </row>
    <row r="119" spans="10:12" s="1" customFormat="1" x14ac:dyDescent="0.25">
      <c r="J119" s="47">
        <v>13.3</v>
      </c>
      <c r="K119" s="897">
        <f t="shared" si="5"/>
        <v>3.0000000000000006E-2</v>
      </c>
      <c r="L119" s="898">
        <f t="shared" ref="L119:L150" si="7">L118+(K119)*(J119-J118)</f>
        <v>1.2989999999999979</v>
      </c>
    </row>
    <row r="120" spans="10:12" s="1" customFormat="1" x14ac:dyDescent="0.25">
      <c r="J120" s="47">
        <v>13.4</v>
      </c>
      <c r="K120" s="897">
        <f t="shared" si="5"/>
        <v>3.0000000000000006E-2</v>
      </c>
      <c r="L120" s="898">
        <f t="shared" si="7"/>
        <v>1.3019999999999978</v>
      </c>
    </row>
    <row r="121" spans="10:12" s="1" customFormat="1" x14ac:dyDescent="0.25">
      <c r="J121" s="47">
        <v>13.5</v>
      </c>
      <c r="K121" s="897">
        <f t="shared" si="5"/>
        <v>3.0000000000000006E-2</v>
      </c>
      <c r="L121" s="898">
        <f t="shared" si="7"/>
        <v>1.3049999999999977</v>
      </c>
    </row>
    <row r="122" spans="10:12" s="1" customFormat="1" x14ac:dyDescent="0.25">
      <c r="J122" s="47">
        <v>13.6</v>
      </c>
      <c r="K122" s="897">
        <f t="shared" si="5"/>
        <v>3.0000000000000006E-2</v>
      </c>
      <c r="L122" s="898">
        <f t="shared" si="7"/>
        <v>1.3079999999999976</v>
      </c>
    </row>
    <row r="123" spans="10:12" s="1" customFormat="1" x14ac:dyDescent="0.25">
      <c r="J123" s="47">
        <v>13.7</v>
      </c>
      <c r="K123" s="897">
        <f t="shared" si="5"/>
        <v>3.0000000000000006E-2</v>
      </c>
      <c r="L123" s="898">
        <f t="shared" si="7"/>
        <v>1.3109999999999975</v>
      </c>
    </row>
    <row r="124" spans="10:12" s="1" customFormat="1" x14ac:dyDescent="0.25">
      <c r="J124" s="47">
        <v>13.8</v>
      </c>
      <c r="K124" s="897">
        <f t="shared" si="5"/>
        <v>3.0000000000000006E-2</v>
      </c>
      <c r="L124" s="898">
        <f t="shared" si="7"/>
        <v>1.3139999999999976</v>
      </c>
    </row>
    <row r="125" spans="10:12" s="1" customFormat="1" x14ac:dyDescent="0.25">
      <c r="J125" s="47">
        <v>13.9</v>
      </c>
      <c r="K125" s="897">
        <f t="shared" si="5"/>
        <v>3.0000000000000006E-2</v>
      </c>
      <c r="L125" s="898">
        <f t="shared" si="7"/>
        <v>1.3169999999999975</v>
      </c>
    </row>
    <row r="126" spans="10:12" s="1" customFormat="1" x14ac:dyDescent="0.25">
      <c r="J126" s="47">
        <v>14</v>
      </c>
      <c r="K126" s="897">
        <f t="shared" si="5"/>
        <v>3.0000000000000006E-2</v>
      </c>
      <c r="L126" s="898">
        <f t="shared" si="7"/>
        <v>1.3199999999999974</v>
      </c>
    </row>
    <row r="127" spans="10:12" s="1" customFormat="1" x14ac:dyDescent="0.25">
      <c r="J127" s="47">
        <v>14.1</v>
      </c>
      <c r="K127" s="897">
        <f t="shared" si="5"/>
        <v>3.0000000000000006E-2</v>
      </c>
      <c r="L127" s="898">
        <f t="shared" si="7"/>
        <v>1.3229999999999973</v>
      </c>
    </row>
    <row r="128" spans="10:12" s="1" customFormat="1" x14ac:dyDescent="0.25">
      <c r="J128" s="47">
        <v>14.2</v>
      </c>
      <c r="K128" s="897">
        <f t="shared" si="5"/>
        <v>3.0000000000000006E-2</v>
      </c>
      <c r="L128" s="898">
        <f t="shared" si="7"/>
        <v>1.3259999999999972</v>
      </c>
    </row>
    <row r="129" spans="10:12" s="1" customFormat="1" x14ac:dyDescent="0.25">
      <c r="J129" s="47">
        <v>14.3</v>
      </c>
      <c r="K129" s="897">
        <f t="shared" si="5"/>
        <v>3.0000000000000006E-2</v>
      </c>
      <c r="L129" s="898">
        <f t="shared" si="7"/>
        <v>1.3289999999999973</v>
      </c>
    </row>
    <row r="130" spans="10:12" s="1" customFormat="1" x14ac:dyDescent="0.25">
      <c r="J130" s="47">
        <v>14.4</v>
      </c>
      <c r="K130" s="897">
        <f t="shared" si="5"/>
        <v>3.0000000000000006E-2</v>
      </c>
      <c r="L130" s="898">
        <f t="shared" si="7"/>
        <v>1.3319999999999972</v>
      </c>
    </row>
    <row r="131" spans="10:12" s="1" customFormat="1" x14ac:dyDescent="0.25">
      <c r="J131" s="47">
        <v>14.5</v>
      </c>
      <c r="K131" s="897">
        <f t="shared" si="5"/>
        <v>3.0000000000000006E-2</v>
      </c>
      <c r="L131" s="898">
        <f t="shared" si="7"/>
        <v>1.3349999999999971</v>
      </c>
    </row>
    <row r="132" spans="10:12" s="1" customFormat="1" x14ac:dyDescent="0.25">
      <c r="J132" s="47">
        <v>14.6</v>
      </c>
      <c r="K132" s="897">
        <f t="shared" si="5"/>
        <v>3.0000000000000006E-2</v>
      </c>
      <c r="L132" s="898">
        <f t="shared" si="7"/>
        <v>1.337999999999997</v>
      </c>
    </row>
    <row r="133" spans="10:12" s="1" customFormat="1" x14ac:dyDescent="0.25">
      <c r="J133" s="47">
        <v>14.7</v>
      </c>
      <c r="K133" s="897">
        <f t="shared" si="5"/>
        <v>3.0000000000000006E-2</v>
      </c>
      <c r="L133" s="898">
        <f t="shared" si="7"/>
        <v>1.3409999999999969</v>
      </c>
    </row>
    <row r="134" spans="10:12" s="1" customFormat="1" x14ac:dyDescent="0.25">
      <c r="J134" s="47">
        <v>14.8</v>
      </c>
      <c r="K134" s="897">
        <f t="shared" ref="K134:K197" si="8">LOOKUP(J134,$C$6:$C$17,$H$6:$H$17)</f>
        <v>3.0000000000000006E-2</v>
      </c>
      <c r="L134" s="898">
        <f t="shared" si="7"/>
        <v>1.343999999999997</v>
      </c>
    </row>
    <row r="135" spans="10:12" s="1" customFormat="1" x14ac:dyDescent="0.25">
      <c r="J135" s="47">
        <v>14.9</v>
      </c>
      <c r="K135" s="897">
        <f t="shared" si="8"/>
        <v>3.0000000000000006E-2</v>
      </c>
      <c r="L135" s="898">
        <f t="shared" si="7"/>
        <v>1.3469999999999969</v>
      </c>
    </row>
    <row r="136" spans="10:12" s="1" customFormat="1" x14ac:dyDescent="0.25">
      <c r="J136" s="47">
        <v>15</v>
      </c>
      <c r="K136" s="897">
        <f t="shared" si="8"/>
        <v>3.0000000000000006E-2</v>
      </c>
      <c r="L136" s="898">
        <f t="shared" si="7"/>
        <v>1.3499999999999968</v>
      </c>
    </row>
    <row r="137" spans="10:12" s="1" customFormat="1" x14ac:dyDescent="0.25">
      <c r="J137" s="47">
        <v>15.1</v>
      </c>
      <c r="K137" s="897">
        <f t="shared" si="8"/>
        <v>3.0000000000000006E-2</v>
      </c>
      <c r="L137" s="898">
        <f t="shared" si="7"/>
        <v>1.3529999999999966</v>
      </c>
    </row>
    <row r="138" spans="10:12" s="1" customFormat="1" x14ac:dyDescent="0.25">
      <c r="J138" s="47">
        <v>15.2</v>
      </c>
      <c r="K138" s="897">
        <f t="shared" si="8"/>
        <v>3.0000000000000006E-2</v>
      </c>
      <c r="L138" s="898">
        <f t="shared" si="7"/>
        <v>1.3559999999999965</v>
      </c>
    </row>
    <row r="139" spans="10:12" s="1" customFormat="1" x14ac:dyDescent="0.25">
      <c r="J139" s="47">
        <v>15.3</v>
      </c>
      <c r="K139" s="897">
        <f t="shared" si="8"/>
        <v>3.0000000000000006E-2</v>
      </c>
      <c r="L139" s="898">
        <f t="shared" si="7"/>
        <v>1.3589999999999967</v>
      </c>
    </row>
    <row r="140" spans="10:12" s="1" customFormat="1" x14ac:dyDescent="0.25">
      <c r="J140" s="47">
        <v>15.4</v>
      </c>
      <c r="K140" s="897">
        <f t="shared" si="8"/>
        <v>3.0000000000000006E-2</v>
      </c>
      <c r="L140" s="898">
        <f t="shared" si="7"/>
        <v>1.3619999999999965</v>
      </c>
    </row>
    <row r="141" spans="10:12" s="1" customFormat="1" x14ac:dyDescent="0.25">
      <c r="J141" s="47">
        <v>15.5</v>
      </c>
      <c r="K141" s="897">
        <f t="shared" si="8"/>
        <v>3.0000000000000006E-2</v>
      </c>
      <c r="L141" s="898">
        <f t="shared" si="7"/>
        <v>1.3649999999999964</v>
      </c>
    </row>
    <row r="142" spans="10:12" s="1" customFormat="1" x14ac:dyDescent="0.25">
      <c r="J142" s="47">
        <v>15.6</v>
      </c>
      <c r="K142" s="897">
        <f t="shared" si="8"/>
        <v>3.0000000000000006E-2</v>
      </c>
      <c r="L142" s="898">
        <f t="shared" si="7"/>
        <v>1.3679999999999963</v>
      </c>
    </row>
    <row r="143" spans="10:12" s="1" customFormat="1" x14ac:dyDescent="0.25">
      <c r="J143" s="47">
        <v>15.7</v>
      </c>
      <c r="K143" s="897">
        <f t="shared" si="8"/>
        <v>3.0000000000000006E-2</v>
      </c>
      <c r="L143" s="898">
        <f t="shared" si="7"/>
        <v>1.3709999999999962</v>
      </c>
    </row>
    <row r="144" spans="10:12" s="1" customFormat="1" x14ac:dyDescent="0.25">
      <c r="J144" s="47">
        <v>15.8</v>
      </c>
      <c r="K144" s="897">
        <f t="shared" si="8"/>
        <v>3.0000000000000006E-2</v>
      </c>
      <c r="L144" s="898">
        <f t="shared" si="7"/>
        <v>1.3739999999999963</v>
      </c>
    </row>
    <row r="145" spans="10:12" s="1" customFormat="1" x14ac:dyDescent="0.25">
      <c r="J145" s="47">
        <v>15.9</v>
      </c>
      <c r="K145" s="897">
        <f t="shared" si="8"/>
        <v>3.0000000000000006E-2</v>
      </c>
      <c r="L145" s="898">
        <f t="shared" si="7"/>
        <v>1.3769999999999962</v>
      </c>
    </row>
    <row r="146" spans="10:12" s="1" customFormat="1" x14ac:dyDescent="0.25">
      <c r="J146" s="47">
        <v>16</v>
      </c>
      <c r="K146" s="897">
        <f t="shared" si="8"/>
        <v>3.0000000000000006E-2</v>
      </c>
      <c r="L146" s="898">
        <f t="shared" si="7"/>
        <v>1.3799999999999961</v>
      </c>
    </row>
    <row r="147" spans="10:12" s="1" customFormat="1" x14ac:dyDescent="0.25">
      <c r="J147" s="47">
        <v>16.100000000000001</v>
      </c>
      <c r="K147" s="897">
        <f t="shared" si="8"/>
        <v>3.0000000000000006E-2</v>
      </c>
      <c r="L147" s="898">
        <f t="shared" si="7"/>
        <v>1.3829999999999962</v>
      </c>
    </row>
    <row r="148" spans="10:12" s="1" customFormat="1" x14ac:dyDescent="0.25">
      <c r="J148" s="47">
        <v>16.2</v>
      </c>
      <c r="K148" s="897">
        <f t="shared" si="8"/>
        <v>3.0000000000000006E-2</v>
      </c>
      <c r="L148" s="898">
        <f t="shared" si="7"/>
        <v>1.3859999999999961</v>
      </c>
    </row>
    <row r="149" spans="10:12" s="1" customFormat="1" x14ac:dyDescent="0.25">
      <c r="J149" s="47">
        <v>16.3</v>
      </c>
      <c r="K149" s="897">
        <f t="shared" si="8"/>
        <v>3.0000000000000006E-2</v>
      </c>
      <c r="L149" s="898">
        <f t="shared" si="7"/>
        <v>1.3889999999999962</v>
      </c>
    </row>
    <row r="150" spans="10:12" s="1" customFormat="1" x14ac:dyDescent="0.25">
      <c r="J150" s="47">
        <v>16.399999999999999</v>
      </c>
      <c r="K150" s="897">
        <f t="shared" si="8"/>
        <v>3.0000000000000006E-2</v>
      </c>
      <c r="L150" s="898">
        <f t="shared" si="7"/>
        <v>1.3919999999999961</v>
      </c>
    </row>
    <row r="151" spans="10:12" s="1" customFormat="1" x14ac:dyDescent="0.25">
      <c r="J151" s="47">
        <v>16.5</v>
      </c>
      <c r="K151" s="897">
        <f t="shared" si="8"/>
        <v>3.0000000000000006E-2</v>
      </c>
      <c r="L151" s="898">
        <f t="shared" ref="L151:L182" si="9">L150+(K151)*(J151-J150)</f>
        <v>1.3949999999999962</v>
      </c>
    </row>
    <row r="152" spans="10:12" s="1" customFormat="1" x14ac:dyDescent="0.25">
      <c r="J152" s="47">
        <v>16.600000000000001</v>
      </c>
      <c r="K152" s="897">
        <f t="shared" si="8"/>
        <v>3.0000000000000006E-2</v>
      </c>
      <c r="L152" s="898">
        <f t="shared" si="9"/>
        <v>1.3979999999999964</v>
      </c>
    </row>
    <row r="153" spans="10:12" s="1" customFormat="1" x14ac:dyDescent="0.25">
      <c r="J153" s="47">
        <v>16.7</v>
      </c>
      <c r="K153" s="897">
        <f t="shared" si="8"/>
        <v>3.0000000000000006E-2</v>
      </c>
      <c r="L153" s="898">
        <f t="shared" si="9"/>
        <v>1.4009999999999962</v>
      </c>
    </row>
    <row r="154" spans="10:12" s="1" customFormat="1" x14ac:dyDescent="0.25">
      <c r="J154" s="47">
        <v>16.8</v>
      </c>
      <c r="K154" s="897">
        <f t="shared" si="8"/>
        <v>3.0000000000000006E-2</v>
      </c>
      <c r="L154" s="898">
        <f t="shared" si="9"/>
        <v>1.4039999999999964</v>
      </c>
    </row>
    <row r="155" spans="10:12" s="1" customFormat="1" x14ac:dyDescent="0.25">
      <c r="J155" s="47">
        <v>16.899999999999999</v>
      </c>
      <c r="K155" s="897">
        <f t="shared" si="8"/>
        <v>3.0000000000000006E-2</v>
      </c>
      <c r="L155" s="898">
        <f t="shared" si="9"/>
        <v>1.4069999999999963</v>
      </c>
    </row>
    <row r="156" spans="10:12" s="1" customFormat="1" x14ac:dyDescent="0.25">
      <c r="J156" s="47">
        <v>17</v>
      </c>
      <c r="K156" s="897">
        <f t="shared" si="8"/>
        <v>3.0000000000000006E-2</v>
      </c>
      <c r="L156" s="898">
        <f t="shared" si="9"/>
        <v>1.4099999999999964</v>
      </c>
    </row>
    <row r="157" spans="10:12" s="1" customFormat="1" x14ac:dyDescent="0.25">
      <c r="J157" s="47">
        <v>17.100000000000001</v>
      </c>
      <c r="K157" s="897">
        <f t="shared" si="8"/>
        <v>3.0000000000000006E-2</v>
      </c>
      <c r="L157" s="898">
        <f t="shared" si="9"/>
        <v>1.4129999999999965</v>
      </c>
    </row>
    <row r="158" spans="10:12" s="1" customFormat="1" x14ac:dyDescent="0.25">
      <c r="J158" s="47">
        <v>17.2</v>
      </c>
      <c r="K158" s="897">
        <f t="shared" si="8"/>
        <v>3.0000000000000006E-2</v>
      </c>
      <c r="L158" s="898">
        <f t="shared" si="9"/>
        <v>1.4159999999999964</v>
      </c>
    </row>
    <row r="159" spans="10:12" s="1" customFormat="1" x14ac:dyDescent="0.25">
      <c r="J159" s="47">
        <v>17.3</v>
      </c>
      <c r="K159" s="897">
        <f t="shared" si="8"/>
        <v>3.0000000000000006E-2</v>
      </c>
      <c r="L159" s="898">
        <f t="shared" si="9"/>
        <v>1.4189999999999965</v>
      </c>
    </row>
    <row r="160" spans="10:12" s="1" customFormat="1" x14ac:dyDescent="0.25">
      <c r="J160" s="47">
        <v>17.399999999999999</v>
      </c>
      <c r="K160" s="897">
        <f t="shared" si="8"/>
        <v>3.0000000000000006E-2</v>
      </c>
      <c r="L160" s="898">
        <f t="shared" si="9"/>
        <v>1.4219999999999964</v>
      </c>
    </row>
    <row r="161" spans="10:12" s="1" customFormat="1" x14ac:dyDescent="0.25">
      <c r="J161" s="47">
        <v>17.5</v>
      </c>
      <c r="K161" s="897">
        <f t="shared" si="8"/>
        <v>3.0000000000000006E-2</v>
      </c>
      <c r="L161" s="898">
        <f t="shared" si="9"/>
        <v>1.4249999999999965</v>
      </c>
    </row>
    <row r="162" spans="10:12" s="1" customFormat="1" x14ac:dyDescent="0.25">
      <c r="J162" s="47">
        <v>17.600000000000001</v>
      </c>
      <c r="K162" s="897">
        <f t="shared" si="8"/>
        <v>3.0000000000000006E-2</v>
      </c>
      <c r="L162" s="898">
        <f t="shared" si="9"/>
        <v>1.4279999999999966</v>
      </c>
    </row>
    <row r="163" spans="10:12" s="1" customFormat="1" x14ac:dyDescent="0.25">
      <c r="J163" s="47">
        <v>17.7</v>
      </c>
      <c r="K163" s="897">
        <f t="shared" si="8"/>
        <v>3.0000000000000006E-2</v>
      </c>
      <c r="L163" s="898">
        <f t="shared" si="9"/>
        <v>1.4309999999999965</v>
      </c>
    </row>
    <row r="164" spans="10:12" s="1" customFormat="1" x14ac:dyDescent="0.25">
      <c r="J164" s="47">
        <v>17.8</v>
      </c>
      <c r="K164" s="897">
        <f t="shared" si="8"/>
        <v>3.0000000000000006E-2</v>
      </c>
      <c r="L164" s="898">
        <f t="shared" si="9"/>
        <v>1.4339999999999966</v>
      </c>
    </row>
    <row r="165" spans="10:12" s="1" customFormat="1" x14ac:dyDescent="0.25">
      <c r="J165" s="47">
        <v>17.899999999999999</v>
      </c>
      <c r="K165" s="897">
        <f t="shared" si="8"/>
        <v>3.0000000000000006E-2</v>
      </c>
      <c r="L165" s="898">
        <f t="shared" si="9"/>
        <v>1.4369999999999965</v>
      </c>
    </row>
    <row r="166" spans="10:12" s="1" customFormat="1" x14ac:dyDescent="0.25">
      <c r="J166" s="47">
        <v>18</v>
      </c>
      <c r="K166" s="897">
        <f t="shared" si="8"/>
        <v>3.0000000000000006E-2</v>
      </c>
      <c r="L166" s="898">
        <f t="shared" si="9"/>
        <v>1.4399999999999966</v>
      </c>
    </row>
    <row r="167" spans="10:12" s="1" customFormat="1" x14ac:dyDescent="0.25">
      <c r="J167" s="47">
        <v>18.100000000000001</v>
      </c>
      <c r="K167" s="897">
        <f t="shared" si="8"/>
        <v>3.0000000000000006E-2</v>
      </c>
      <c r="L167" s="898">
        <f t="shared" si="9"/>
        <v>1.4429999999999967</v>
      </c>
    </row>
    <row r="168" spans="10:12" s="1" customFormat="1" x14ac:dyDescent="0.25">
      <c r="J168" s="47">
        <v>18.2</v>
      </c>
      <c r="K168" s="897">
        <f t="shared" si="8"/>
        <v>3.0000000000000006E-2</v>
      </c>
      <c r="L168" s="898">
        <f t="shared" si="9"/>
        <v>1.4459999999999966</v>
      </c>
    </row>
    <row r="169" spans="10:12" s="1" customFormat="1" x14ac:dyDescent="0.25">
      <c r="J169" s="47">
        <v>18.3</v>
      </c>
      <c r="K169" s="897">
        <f t="shared" si="8"/>
        <v>3.0000000000000006E-2</v>
      </c>
      <c r="L169" s="898">
        <f t="shared" si="9"/>
        <v>1.4489999999999967</v>
      </c>
    </row>
    <row r="170" spans="10:12" s="1" customFormat="1" x14ac:dyDescent="0.25">
      <c r="J170" s="47">
        <v>18.399999999999999</v>
      </c>
      <c r="K170" s="897">
        <f t="shared" si="8"/>
        <v>3.0000000000000006E-2</v>
      </c>
      <c r="L170" s="898">
        <f t="shared" si="9"/>
        <v>1.4519999999999966</v>
      </c>
    </row>
    <row r="171" spans="10:12" s="1" customFormat="1" x14ac:dyDescent="0.25">
      <c r="J171" s="47">
        <v>18.5</v>
      </c>
      <c r="K171" s="897">
        <f t="shared" si="8"/>
        <v>3.0000000000000006E-2</v>
      </c>
      <c r="L171" s="898">
        <f t="shared" si="9"/>
        <v>1.4549999999999967</v>
      </c>
    </row>
    <row r="172" spans="10:12" s="1" customFormat="1" x14ac:dyDescent="0.25">
      <c r="J172" s="47">
        <v>18.600000000000001</v>
      </c>
      <c r="K172" s="897">
        <f t="shared" si="8"/>
        <v>3.0000000000000006E-2</v>
      </c>
      <c r="L172" s="898">
        <f t="shared" si="9"/>
        <v>1.4579999999999969</v>
      </c>
    </row>
    <row r="173" spans="10:12" s="1" customFormat="1" x14ac:dyDescent="0.25">
      <c r="J173" s="47">
        <v>18.7</v>
      </c>
      <c r="K173" s="897">
        <f t="shared" si="8"/>
        <v>3.0000000000000006E-2</v>
      </c>
      <c r="L173" s="898">
        <f t="shared" si="9"/>
        <v>1.4609999999999967</v>
      </c>
    </row>
    <row r="174" spans="10:12" s="1" customFormat="1" x14ac:dyDescent="0.25">
      <c r="J174" s="47">
        <v>18.8</v>
      </c>
      <c r="K174" s="897">
        <f t="shared" si="8"/>
        <v>3.0000000000000006E-2</v>
      </c>
      <c r="L174" s="898">
        <f t="shared" si="9"/>
        <v>1.4639999999999969</v>
      </c>
    </row>
    <row r="175" spans="10:12" s="1" customFormat="1" x14ac:dyDescent="0.25">
      <c r="J175" s="47">
        <v>18.899999999999999</v>
      </c>
      <c r="K175" s="897">
        <f t="shared" si="8"/>
        <v>3.0000000000000006E-2</v>
      </c>
      <c r="L175" s="898">
        <f t="shared" si="9"/>
        <v>1.4669999999999968</v>
      </c>
    </row>
    <row r="176" spans="10:12" s="1" customFormat="1" x14ac:dyDescent="0.25">
      <c r="J176" s="47">
        <v>19</v>
      </c>
      <c r="K176" s="897">
        <f t="shared" si="8"/>
        <v>3.0000000000000006E-2</v>
      </c>
      <c r="L176" s="898">
        <f t="shared" si="9"/>
        <v>1.4699999999999969</v>
      </c>
    </row>
    <row r="177" spans="10:12" s="1" customFormat="1" x14ac:dyDescent="0.25">
      <c r="J177" s="47">
        <v>19.100000000000001</v>
      </c>
      <c r="K177" s="897">
        <f t="shared" si="8"/>
        <v>3.0000000000000006E-2</v>
      </c>
      <c r="L177" s="898">
        <f t="shared" si="9"/>
        <v>1.472999999999997</v>
      </c>
    </row>
    <row r="178" spans="10:12" s="1" customFormat="1" x14ac:dyDescent="0.25">
      <c r="J178" s="47">
        <v>19.2</v>
      </c>
      <c r="K178" s="897">
        <f t="shared" si="8"/>
        <v>3.0000000000000006E-2</v>
      </c>
      <c r="L178" s="898">
        <f t="shared" si="9"/>
        <v>1.4759999999999969</v>
      </c>
    </row>
    <row r="179" spans="10:12" s="1" customFormat="1" x14ac:dyDescent="0.25">
      <c r="J179" s="47">
        <v>19.3</v>
      </c>
      <c r="K179" s="897">
        <f t="shared" si="8"/>
        <v>3.0000000000000006E-2</v>
      </c>
      <c r="L179" s="898">
        <f t="shared" si="9"/>
        <v>1.478999999999997</v>
      </c>
    </row>
    <row r="180" spans="10:12" s="1" customFormat="1" x14ac:dyDescent="0.25">
      <c r="J180" s="47">
        <v>19.399999999999999</v>
      </c>
      <c r="K180" s="897">
        <f t="shared" si="8"/>
        <v>3.0000000000000006E-2</v>
      </c>
      <c r="L180" s="898">
        <f t="shared" si="9"/>
        <v>1.4819999999999969</v>
      </c>
    </row>
    <row r="181" spans="10:12" s="1" customFormat="1" x14ac:dyDescent="0.25">
      <c r="J181" s="47">
        <v>19.5</v>
      </c>
      <c r="K181" s="897">
        <f t="shared" si="8"/>
        <v>3.0000000000000006E-2</v>
      </c>
      <c r="L181" s="898">
        <f t="shared" si="9"/>
        <v>1.484999999999997</v>
      </c>
    </row>
    <row r="182" spans="10:12" s="1" customFormat="1" x14ac:dyDescent="0.25">
      <c r="J182" s="47">
        <v>19.600000000000001</v>
      </c>
      <c r="K182" s="897">
        <f t="shared" si="8"/>
        <v>3.0000000000000006E-2</v>
      </c>
      <c r="L182" s="898">
        <f t="shared" si="9"/>
        <v>1.4879999999999971</v>
      </c>
    </row>
    <row r="183" spans="10:12" s="1" customFormat="1" x14ac:dyDescent="0.25">
      <c r="J183" s="47">
        <v>19.7</v>
      </c>
      <c r="K183" s="897">
        <f t="shared" si="8"/>
        <v>3.0000000000000006E-2</v>
      </c>
      <c r="L183" s="898">
        <f>L182+(K183)*(J183-J182)</f>
        <v>1.490999999999997</v>
      </c>
    </row>
    <row r="184" spans="10:12" s="1" customFormat="1" x14ac:dyDescent="0.25">
      <c r="J184" s="47">
        <v>19.8</v>
      </c>
      <c r="K184" s="897">
        <f t="shared" si="8"/>
        <v>3.0000000000000006E-2</v>
      </c>
      <c r="L184" s="898">
        <f>L183+(K184)*(J184-J183)</f>
        <v>1.4939999999999971</v>
      </c>
    </row>
    <row r="185" spans="10:12" s="1" customFormat="1" x14ac:dyDescent="0.25">
      <c r="J185" s="47">
        <v>19.899999999999999</v>
      </c>
      <c r="K185" s="897">
        <f t="shared" si="8"/>
        <v>3.0000000000000006E-2</v>
      </c>
      <c r="L185" s="898">
        <f>L184+(K185)*(J185-J184)</f>
        <v>1.496999999999997</v>
      </c>
    </row>
    <row r="186" spans="10:12" s="1" customFormat="1" x14ac:dyDescent="0.25">
      <c r="J186" s="47">
        <v>20</v>
      </c>
      <c r="K186" s="897">
        <f t="shared" si="8"/>
        <v>3.0000000000000006E-2</v>
      </c>
      <c r="L186" s="898">
        <v>1.5</v>
      </c>
    </row>
    <row r="187" spans="10:12" s="1" customFormat="1" x14ac:dyDescent="0.25">
      <c r="J187" s="47">
        <v>20.100000000000001</v>
      </c>
      <c r="K187" s="897">
        <f t="shared" si="8"/>
        <v>3.0000000000000006E-2</v>
      </c>
      <c r="L187" s="898">
        <f t="shared" ref="L187:L218" si="10">L186+(K187)*(J187-J186)</f>
        <v>1.5030000000000001</v>
      </c>
    </row>
    <row r="188" spans="10:12" s="1" customFormat="1" x14ac:dyDescent="0.25">
      <c r="J188" s="47">
        <v>20.2</v>
      </c>
      <c r="K188" s="897">
        <f t="shared" si="8"/>
        <v>3.0000000000000006E-2</v>
      </c>
      <c r="L188" s="898">
        <f t="shared" si="10"/>
        <v>1.506</v>
      </c>
    </row>
    <row r="189" spans="10:12" s="1" customFormat="1" x14ac:dyDescent="0.25">
      <c r="J189" s="47">
        <v>20.3</v>
      </c>
      <c r="K189" s="897">
        <f t="shared" si="8"/>
        <v>3.0000000000000006E-2</v>
      </c>
      <c r="L189" s="898">
        <f t="shared" si="10"/>
        <v>1.5090000000000001</v>
      </c>
    </row>
    <row r="190" spans="10:12" s="1" customFormat="1" x14ac:dyDescent="0.25">
      <c r="J190" s="47">
        <v>20.399999999999999</v>
      </c>
      <c r="K190" s="897">
        <f t="shared" si="8"/>
        <v>3.0000000000000006E-2</v>
      </c>
      <c r="L190" s="898">
        <f t="shared" si="10"/>
        <v>1.512</v>
      </c>
    </row>
    <row r="191" spans="10:12" s="1" customFormat="1" x14ac:dyDescent="0.25">
      <c r="J191" s="47">
        <v>20.5</v>
      </c>
      <c r="K191" s="897">
        <f t="shared" si="8"/>
        <v>3.0000000000000006E-2</v>
      </c>
      <c r="L191" s="898">
        <f t="shared" si="10"/>
        <v>1.5150000000000001</v>
      </c>
    </row>
    <row r="192" spans="10:12" s="1" customFormat="1" x14ac:dyDescent="0.25">
      <c r="J192" s="47">
        <v>20.6</v>
      </c>
      <c r="K192" s="897">
        <f t="shared" si="8"/>
        <v>3.0000000000000006E-2</v>
      </c>
      <c r="L192" s="898">
        <f t="shared" si="10"/>
        <v>1.5180000000000002</v>
      </c>
    </row>
    <row r="193" spans="10:12" s="1" customFormat="1" x14ac:dyDescent="0.25">
      <c r="J193" s="47">
        <v>20.7</v>
      </c>
      <c r="K193" s="897">
        <f t="shared" si="8"/>
        <v>3.0000000000000006E-2</v>
      </c>
      <c r="L193" s="898">
        <f t="shared" si="10"/>
        <v>1.5210000000000001</v>
      </c>
    </row>
    <row r="194" spans="10:12" s="1" customFormat="1" x14ac:dyDescent="0.25">
      <c r="J194" s="47">
        <v>20.8</v>
      </c>
      <c r="K194" s="897">
        <f t="shared" si="8"/>
        <v>3.0000000000000006E-2</v>
      </c>
      <c r="L194" s="898">
        <f t="shared" si="10"/>
        <v>1.5240000000000002</v>
      </c>
    </row>
    <row r="195" spans="10:12" s="1" customFormat="1" x14ac:dyDescent="0.25">
      <c r="J195" s="47">
        <v>20.9</v>
      </c>
      <c r="K195" s="897">
        <f t="shared" si="8"/>
        <v>3.0000000000000006E-2</v>
      </c>
      <c r="L195" s="898">
        <f t="shared" si="10"/>
        <v>1.5270000000000001</v>
      </c>
    </row>
    <row r="196" spans="10:12" s="1" customFormat="1" x14ac:dyDescent="0.25">
      <c r="J196" s="47">
        <v>21</v>
      </c>
      <c r="K196" s="897">
        <f t="shared" si="8"/>
        <v>3.0000000000000006E-2</v>
      </c>
      <c r="L196" s="898">
        <f t="shared" si="10"/>
        <v>1.5300000000000002</v>
      </c>
    </row>
    <row r="197" spans="10:12" s="1" customFormat="1" x14ac:dyDescent="0.25">
      <c r="J197" s="47">
        <v>21.1</v>
      </c>
      <c r="K197" s="897">
        <f t="shared" si="8"/>
        <v>3.0000000000000006E-2</v>
      </c>
      <c r="L197" s="898">
        <f t="shared" si="10"/>
        <v>1.5330000000000004</v>
      </c>
    </row>
    <row r="198" spans="10:12" s="1" customFormat="1" x14ac:dyDescent="0.25">
      <c r="J198" s="47">
        <v>21.2</v>
      </c>
      <c r="K198" s="897">
        <f t="shared" ref="K198:K261" si="11">LOOKUP(J198,$C$6:$C$17,$H$6:$H$17)</f>
        <v>3.0000000000000006E-2</v>
      </c>
      <c r="L198" s="898">
        <f t="shared" si="10"/>
        <v>1.5360000000000003</v>
      </c>
    </row>
    <row r="199" spans="10:12" s="1" customFormat="1" x14ac:dyDescent="0.25">
      <c r="J199" s="47">
        <v>21.3</v>
      </c>
      <c r="K199" s="897">
        <f t="shared" si="11"/>
        <v>3.0000000000000006E-2</v>
      </c>
      <c r="L199" s="898">
        <f t="shared" si="10"/>
        <v>1.5390000000000004</v>
      </c>
    </row>
    <row r="200" spans="10:12" s="1" customFormat="1" x14ac:dyDescent="0.25">
      <c r="J200" s="47">
        <v>21.4</v>
      </c>
      <c r="K200" s="897">
        <f t="shared" si="11"/>
        <v>3.0000000000000006E-2</v>
      </c>
      <c r="L200" s="898">
        <f t="shared" si="10"/>
        <v>1.5420000000000003</v>
      </c>
    </row>
    <row r="201" spans="10:12" s="1" customFormat="1" x14ac:dyDescent="0.25">
      <c r="J201" s="47">
        <v>21.5</v>
      </c>
      <c r="K201" s="897">
        <f t="shared" si="11"/>
        <v>3.0000000000000006E-2</v>
      </c>
      <c r="L201" s="898">
        <f t="shared" si="10"/>
        <v>1.5450000000000004</v>
      </c>
    </row>
    <row r="202" spans="10:12" s="1" customFormat="1" x14ac:dyDescent="0.25">
      <c r="J202" s="47">
        <v>21.6</v>
      </c>
      <c r="K202" s="897">
        <f t="shared" si="11"/>
        <v>3.0000000000000006E-2</v>
      </c>
      <c r="L202" s="898">
        <f t="shared" si="10"/>
        <v>1.5480000000000005</v>
      </c>
    </row>
    <row r="203" spans="10:12" s="1" customFormat="1" x14ac:dyDescent="0.25">
      <c r="J203" s="47">
        <v>21.7</v>
      </c>
      <c r="K203" s="897">
        <f t="shared" si="11"/>
        <v>3.0000000000000006E-2</v>
      </c>
      <c r="L203" s="898">
        <f t="shared" si="10"/>
        <v>1.5510000000000004</v>
      </c>
    </row>
    <row r="204" spans="10:12" s="1" customFormat="1" x14ac:dyDescent="0.25">
      <c r="J204" s="47">
        <v>21.8</v>
      </c>
      <c r="K204" s="897">
        <f t="shared" si="11"/>
        <v>3.0000000000000006E-2</v>
      </c>
      <c r="L204" s="898">
        <f t="shared" si="10"/>
        <v>1.5540000000000005</v>
      </c>
    </row>
    <row r="205" spans="10:12" s="1" customFormat="1" x14ac:dyDescent="0.25">
      <c r="J205" s="47">
        <v>21.9</v>
      </c>
      <c r="K205" s="897">
        <f t="shared" si="11"/>
        <v>3.0000000000000006E-2</v>
      </c>
      <c r="L205" s="898">
        <f t="shared" si="10"/>
        <v>1.5570000000000004</v>
      </c>
    </row>
    <row r="206" spans="10:12" s="1" customFormat="1" x14ac:dyDescent="0.25">
      <c r="J206" s="47">
        <v>22</v>
      </c>
      <c r="K206" s="897">
        <f t="shared" si="11"/>
        <v>3.0000000000000006E-2</v>
      </c>
      <c r="L206" s="898">
        <f t="shared" si="10"/>
        <v>1.5600000000000005</v>
      </c>
    </row>
    <row r="207" spans="10:12" s="1" customFormat="1" x14ac:dyDescent="0.25">
      <c r="J207" s="47">
        <v>22.1</v>
      </c>
      <c r="K207" s="897">
        <f t="shared" si="11"/>
        <v>3.0000000000000006E-2</v>
      </c>
      <c r="L207" s="898">
        <f t="shared" si="10"/>
        <v>1.5630000000000006</v>
      </c>
    </row>
    <row r="208" spans="10:12" s="1" customFormat="1" x14ac:dyDescent="0.25">
      <c r="J208" s="47">
        <v>22.2</v>
      </c>
      <c r="K208" s="897">
        <f t="shared" si="11"/>
        <v>3.0000000000000006E-2</v>
      </c>
      <c r="L208" s="898">
        <f t="shared" si="10"/>
        <v>1.5660000000000005</v>
      </c>
    </row>
    <row r="209" spans="10:12" s="1" customFormat="1" x14ac:dyDescent="0.25">
      <c r="J209" s="47">
        <v>22.3</v>
      </c>
      <c r="K209" s="897">
        <f t="shared" si="11"/>
        <v>3.0000000000000006E-2</v>
      </c>
      <c r="L209" s="898">
        <f t="shared" si="10"/>
        <v>1.5690000000000006</v>
      </c>
    </row>
    <row r="210" spans="10:12" s="1" customFormat="1" x14ac:dyDescent="0.25">
      <c r="J210" s="47">
        <v>22.4</v>
      </c>
      <c r="K210" s="897">
        <f t="shared" si="11"/>
        <v>3.0000000000000006E-2</v>
      </c>
      <c r="L210" s="898">
        <f t="shared" si="10"/>
        <v>1.5720000000000005</v>
      </c>
    </row>
    <row r="211" spans="10:12" s="1" customFormat="1" x14ac:dyDescent="0.25">
      <c r="J211" s="47">
        <v>22.5</v>
      </c>
      <c r="K211" s="897">
        <f t="shared" si="11"/>
        <v>3.0000000000000006E-2</v>
      </c>
      <c r="L211" s="898">
        <f t="shared" si="10"/>
        <v>1.5750000000000006</v>
      </c>
    </row>
    <row r="212" spans="10:12" s="1" customFormat="1" x14ac:dyDescent="0.25">
      <c r="J212" s="47">
        <v>22.6</v>
      </c>
      <c r="K212" s="897">
        <f t="shared" si="11"/>
        <v>3.0000000000000006E-2</v>
      </c>
      <c r="L212" s="898">
        <f t="shared" si="10"/>
        <v>1.5780000000000007</v>
      </c>
    </row>
    <row r="213" spans="10:12" s="1" customFormat="1" x14ac:dyDescent="0.25">
      <c r="J213" s="47">
        <v>22.7</v>
      </c>
      <c r="K213" s="897">
        <f t="shared" si="11"/>
        <v>3.0000000000000006E-2</v>
      </c>
      <c r="L213" s="898">
        <f t="shared" si="10"/>
        <v>1.5810000000000006</v>
      </c>
    </row>
    <row r="214" spans="10:12" s="1" customFormat="1" x14ac:dyDescent="0.25">
      <c r="J214" s="47">
        <v>22.8</v>
      </c>
      <c r="K214" s="897">
        <f t="shared" si="11"/>
        <v>3.0000000000000006E-2</v>
      </c>
      <c r="L214" s="898">
        <f t="shared" si="10"/>
        <v>1.5840000000000007</v>
      </c>
    </row>
    <row r="215" spans="10:12" s="1" customFormat="1" x14ac:dyDescent="0.25">
      <c r="J215" s="47">
        <v>22.9</v>
      </c>
      <c r="K215" s="897">
        <f t="shared" si="11"/>
        <v>3.0000000000000006E-2</v>
      </c>
      <c r="L215" s="898">
        <f t="shared" si="10"/>
        <v>1.5870000000000006</v>
      </c>
    </row>
    <row r="216" spans="10:12" s="1" customFormat="1" x14ac:dyDescent="0.25">
      <c r="J216" s="47">
        <v>23</v>
      </c>
      <c r="K216" s="897">
        <f t="shared" si="11"/>
        <v>3.0000000000000006E-2</v>
      </c>
      <c r="L216" s="898">
        <f t="shared" si="10"/>
        <v>1.5900000000000007</v>
      </c>
    </row>
    <row r="217" spans="10:12" s="1" customFormat="1" x14ac:dyDescent="0.25">
      <c r="J217" s="47">
        <v>23.1</v>
      </c>
      <c r="K217" s="897">
        <f t="shared" si="11"/>
        <v>3.0000000000000006E-2</v>
      </c>
      <c r="L217" s="898">
        <f t="shared" si="10"/>
        <v>1.5930000000000009</v>
      </c>
    </row>
    <row r="218" spans="10:12" s="1" customFormat="1" x14ac:dyDescent="0.25">
      <c r="J218" s="47">
        <v>23.2</v>
      </c>
      <c r="K218" s="897">
        <f t="shared" si="11"/>
        <v>3.0000000000000006E-2</v>
      </c>
      <c r="L218" s="898">
        <f t="shared" si="10"/>
        <v>1.5960000000000008</v>
      </c>
    </row>
    <row r="219" spans="10:12" s="1" customFormat="1" x14ac:dyDescent="0.25">
      <c r="J219" s="47">
        <v>23.3</v>
      </c>
      <c r="K219" s="897">
        <f t="shared" si="11"/>
        <v>3.0000000000000006E-2</v>
      </c>
      <c r="L219" s="898">
        <f t="shared" ref="L219:L250" si="12">L218+(K219)*(J219-J218)</f>
        <v>1.5990000000000009</v>
      </c>
    </row>
    <row r="220" spans="10:12" s="1" customFormat="1" x14ac:dyDescent="0.25">
      <c r="J220" s="47">
        <v>23.4</v>
      </c>
      <c r="K220" s="897">
        <f t="shared" si="11"/>
        <v>3.0000000000000006E-2</v>
      </c>
      <c r="L220" s="898">
        <f t="shared" si="12"/>
        <v>1.6020000000000008</v>
      </c>
    </row>
    <row r="221" spans="10:12" s="1" customFormat="1" x14ac:dyDescent="0.25">
      <c r="J221" s="47">
        <v>23.5</v>
      </c>
      <c r="K221" s="897">
        <f t="shared" si="11"/>
        <v>3.0000000000000006E-2</v>
      </c>
      <c r="L221" s="898">
        <f t="shared" si="12"/>
        <v>1.6050000000000009</v>
      </c>
    </row>
    <row r="222" spans="10:12" s="1" customFormat="1" x14ac:dyDescent="0.25">
      <c r="J222" s="47">
        <v>23.6</v>
      </c>
      <c r="K222" s="897">
        <f t="shared" si="11"/>
        <v>3.0000000000000006E-2</v>
      </c>
      <c r="L222" s="898">
        <f t="shared" si="12"/>
        <v>1.608000000000001</v>
      </c>
    </row>
    <row r="223" spans="10:12" s="1" customFormat="1" x14ac:dyDescent="0.25">
      <c r="J223" s="47">
        <v>23.7</v>
      </c>
      <c r="K223" s="897">
        <f t="shared" si="11"/>
        <v>3.0000000000000006E-2</v>
      </c>
      <c r="L223" s="898">
        <f t="shared" si="12"/>
        <v>1.6110000000000009</v>
      </c>
    </row>
    <row r="224" spans="10:12" s="1" customFormat="1" x14ac:dyDescent="0.25">
      <c r="J224" s="47">
        <v>23.8</v>
      </c>
      <c r="K224" s="897">
        <f t="shared" si="11"/>
        <v>3.0000000000000006E-2</v>
      </c>
      <c r="L224" s="898">
        <f t="shared" si="12"/>
        <v>1.614000000000001</v>
      </c>
    </row>
    <row r="225" spans="10:12" s="1" customFormat="1" x14ac:dyDescent="0.25">
      <c r="J225" s="47">
        <v>23.9</v>
      </c>
      <c r="K225" s="897">
        <f t="shared" si="11"/>
        <v>3.0000000000000006E-2</v>
      </c>
      <c r="L225" s="898">
        <f t="shared" si="12"/>
        <v>1.6170000000000009</v>
      </c>
    </row>
    <row r="226" spans="10:12" s="1" customFormat="1" x14ac:dyDescent="0.25">
      <c r="J226" s="47">
        <v>24</v>
      </c>
      <c r="K226" s="897">
        <f t="shared" si="11"/>
        <v>3.0000000000000006E-2</v>
      </c>
      <c r="L226" s="898">
        <f t="shared" si="12"/>
        <v>1.620000000000001</v>
      </c>
    </row>
    <row r="227" spans="10:12" s="1" customFormat="1" x14ac:dyDescent="0.25">
      <c r="J227" s="47">
        <v>24.1</v>
      </c>
      <c r="K227" s="897">
        <f t="shared" si="11"/>
        <v>3.0000000000000006E-2</v>
      </c>
      <c r="L227" s="898">
        <f t="shared" si="12"/>
        <v>1.6230000000000011</v>
      </c>
    </row>
    <row r="228" spans="10:12" s="1" customFormat="1" x14ac:dyDescent="0.25">
      <c r="J228" s="47">
        <v>24.2</v>
      </c>
      <c r="K228" s="897">
        <f t="shared" si="11"/>
        <v>3.0000000000000006E-2</v>
      </c>
      <c r="L228" s="898">
        <f t="shared" si="12"/>
        <v>1.626000000000001</v>
      </c>
    </row>
    <row r="229" spans="10:12" s="1" customFormat="1" x14ac:dyDescent="0.25">
      <c r="J229" s="47">
        <v>24.3</v>
      </c>
      <c r="K229" s="897">
        <f t="shared" si="11"/>
        <v>3.0000000000000006E-2</v>
      </c>
      <c r="L229" s="898">
        <f t="shared" si="12"/>
        <v>1.6290000000000011</v>
      </c>
    </row>
    <row r="230" spans="10:12" s="1" customFormat="1" x14ac:dyDescent="0.25">
      <c r="J230" s="47">
        <v>24.4</v>
      </c>
      <c r="K230" s="897">
        <f t="shared" si="11"/>
        <v>3.0000000000000006E-2</v>
      </c>
      <c r="L230" s="898">
        <f t="shared" si="12"/>
        <v>1.632000000000001</v>
      </c>
    </row>
    <row r="231" spans="10:12" s="1" customFormat="1" x14ac:dyDescent="0.25">
      <c r="J231" s="47">
        <v>24.5</v>
      </c>
      <c r="K231" s="897">
        <f t="shared" si="11"/>
        <v>3.0000000000000006E-2</v>
      </c>
      <c r="L231" s="898">
        <f t="shared" si="12"/>
        <v>1.6350000000000011</v>
      </c>
    </row>
    <row r="232" spans="10:12" s="1" customFormat="1" x14ac:dyDescent="0.25">
      <c r="J232" s="47">
        <v>24.6</v>
      </c>
      <c r="K232" s="897">
        <f t="shared" si="11"/>
        <v>3.0000000000000006E-2</v>
      </c>
      <c r="L232" s="898">
        <f t="shared" si="12"/>
        <v>1.6380000000000012</v>
      </c>
    </row>
    <row r="233" spans="10:12" s="1" customFormat="1" x14ac:dyDescent="0.25">
      <c r="J233" s="47">
        <v>24.7</v>
      </c>
      <c r="K233" s="897">
        <f t="shared" si="11"/>
        <v>3.0000000000000006E-2</v>
      </c>
      <c r="L233" s="898">
        <f t="shared" si="12"/>
        <v>1.6410000000000011</v>
      </c>
    </row>
    <row r="234" spans="10:12" s="1" customFormat="1" x14ac:dyDescent="0.25">
      <c r="J234" s="47">
        <v>24.8</v>
      </c>
      <c r="K234" s="897">
        <f t="shared" si="11"/>
        <v>3.0000000000000006E-2</v>
      </c>
      <c r="L234" s="898">
        <f t="shared" si="12"/>
        <v>1.6440000000000012</v>
      </c>
    </row>
    <row r="235" spans="10:12" s="1" customFormat="1" x14ac:dyDescent="0.25">
      <c r="J235" s="47">
        <v>24.9</v>
      </c>
      <c r="K235" s="897">
        <f t="shared" si="11"/>
        <v>3.0000000000000006E-2</v>
      </c>
      <c r="L235" s="898">
        <f t="shared" si="12"/>
        <v>1.6470000000000011</v>
      </c>
    </row>
    <row r="236" spans="10:12" s="1" customFormat="1" x14ac:dyDescent="0.25">
      <c r="J236" s="47">
        <v>25</v>
      </c>
      <c r="K236" s="897">
        <f t="shared" si="11"/>
        <v>3.0000000000000006E-2</v>
      </c>
      <c r="L236" s="898">
        <f t="shared" si="12"/>
        <v>1.6500000000000012</v>
      </c>
    </row>
    <row r="237" spans="10:12" s="1" customFormat="1" x14ac:dyDescent="0.25">
      <c r="J237" s="47">
        <v>25.1</v>
      </c>
      <c r="K237" s="897">
        <f t="shared" si="11"/>
        <v>3.0000000000000006E-2</v>
      </c>
      <c r="L237" s="898">
        <f t="shared" si="12"/>
        <v>1.6530000000000014</v>
      </c>
    </row>
    <row r="238" spans="10:12" s="1" customFormat="1" x14ac:dyDescent="0.25">
      <c r="J238" s="47">
        <v>25.2</v>
      </c>
      <c r="K238" s="897">
        <f t="shared" si="11"/>
        <v>3.0000000000000006E-2</v>
      </c>
      <c r="L238" s="898">
        <f t="shared" si="12"/>
        <v>1.6560000000000012</v>
      </c>
    </row>
    <row r="239" spans="10:12" s="1" customFormat="1" x14ac:dyDescent="0.25">
      <c r="J239" s="47">
        <v>25.3</v>
      </c>
      <c r="K239" s="897">
        <f t="shared" si="11"/>
        <v>3.0000000000000006E-2</v>
      </c>
      <c r="L239" s="898">
        <f t="shared" si="12"/>
        <v>1.6590000000000014</v>
      </c>
    </row>
    <row r="240" spans="10:12" s="1" customFormat="1" x14ac:dyDescent="0.25">
      <c r="J240" s="47">
        <v>25.4</v>
      </c>
      <c r="K240" s="897">
        <f t="shared" si="11"/>
        <v>3.0000000000000006E-2</v>
      </c>
      <c r="L240" s="898">
        <f t="shared" si="12"/>
        <v>1.6620000000000013</v>
      </c>
    </row>
    <row r="241" spans="10:12" s="1" customFormat="1" x14ac:dyDescent="0.25">
      <c r="J241" s="47">
        <v>25.5</v>
      </c>
      <c r="K241" s="897">
        <f t="shared" si="11"/>
        <v>3.0000000000000006E-2</v>
      </c>
      <c r="L241" s="898">
        <f t="shared" si="12"/>
        <v>1.6650000000000014</v>
      </c>
    </row>
    <row r="242" spans="10:12" s="1" customFormat="1" x14ac:dyDescent="0.25">
      <c r="J242" s="47">
        <v>25.6</v>
      </c>
      <c r="K242" s="897">
        <f t="shared" si="11"/>
        <v>3.0000000000000006E-2</v>
      </c>
      <c r="L242" s="898">
        <f t="shared" si="12"/>
        <v>1.6680000000000015</v>
      </c>
    </row>
    <row r="243" spans="10:12" s="1" customFormat="1" x14ac:dyDescent="0.25">
      <c r="J243" s="47">
        <v>25.7</v>
      </c>
      <c r="K243" s="897">
        <f t="shared" si="11"/>
        <v>3.0000000000000006E-2</v>
      </c>
      <c r="L243" s="898">
        <f t="shared" si="12"/>
        <v>1.6710000000000014</v>
      </c>
    </row>
    <row r="244" spans="10:12" s="1" customFormat="1" x14ac:dyDescent="0.25">
      <c r="J244" s="47">
        <v>25.8</v>
      </c>
      <c r="K244" s="897">
        <f t="shared" si="11"/>
        <v>3.0000000000000006E-2</v>
      </c>
      <c r="L244" s="898">
        <f t="shared" si="12"/>
        <v>1.6740000000000015</v>
      </c>
    </row>
    <row r="245" spans="10:12" s="1" customFormat="1" x14ac:dyDescent="0.25">
      <c r="J245" s="47">
        <v>25.9</v>
      </c>
      <c r="K245" s="897">
        <f t="shared" si="11"/>
        <v>3.0000000000000006E-2</v>
      </c>
      <c r="L245" s="898">
        <f t="shared" si="12"/>
        <v>1.6770000000000014</v>
      </c>
    </row>
    <row r="246" spans="10:12" s="1" customFormat="1" x14ac:dyDescent="0.25">
      <c r="J246" s="47">
        <v>26</v>
      </c>
      <c r="K246" s="897">
        <f t="shared" si="11"/>
        <v>3.0000000000000006E-2</v>
      </c>
      <c r="L246" s="898">
        <f t="shared" si="12"/>
        <v>1.6800000000000015</v>
      </c>
    </row>
    <row r="247" spans="10:12" s="1" customFormat="1" x14ac:dyDescent="0.25">
      <c r="J247" s="47">
        <v>26.1</v>
      </c>
      <c r="K247" s="897">
        <f t="shared" si="11"/>
        <v>3.0000000000000006E-2</v>
      </c>
      <c r="L247" s="898">
        <f t="shared" si="12"/>
        <v>1.6830000000000016</v>
      </c>
    </row>
    <row r="248" spans="10:12" s="1" customFormat="1" x14ac:dyDescent="0.25">
      <c r="J248" s="47">
        <v>26.2</v>
      </c>
      <c r="K248" s="897">
        <f t="shared" si="11"/>
        <v>3.0000000000000006E-2</v>
      </c>
      <c r="L248" s="898">
        <f t="shared" si="12"/>
        <v>1.6860000000000015</v>
      </c>
    </row>
    <row r="249" spans="10:12" s="1" customFormat="1" x14ac:dyDescent="0.25">
      <c r="J249" s="47">
        <v>26.3</v>
      </c>
      <c r="K249" s="897">
        <f t="shared" si="11"/>
        <v>3.0000000000000006E-2</v>
      </c>
      <c r="L249" s="898">
        <f t="shared" si="12"/>
        <v>1.6890000000000016</v>
      </c>
    </row>
    <row r="250" spans="10:12" s="1" customFormat="1" x14ac:dyDescent="0.25">
      <c r="J250" s="47">
        <v>26.4</v>
      </c>
      <c r="K250" s="897">
        <f t="shared" si="11"/>
        <v>3.0000000000000006E-2</v>
      </c>
      <c r="L250" s="898">
        <f t="shared" si="12"/>
        <v>1.6920000000000015</v>
      </c>
    </row>
    <row r="251" spans="10:12" s="1" customFormat="1" x14ac:dyDescent="0.25">
      <c r="J251" s="47">
        <v>26.5</v>
      </c>
      <c r="K251" s="897">
        <f t="shared" si="11"/>
        <v>3.0000000000000006E-2</v>
      </c>
      <c r="L251" s="898">
        <f t="shared" ref="L251:L282" si="13">L250+(K251)*(J251-J250)</f>
        <v>1.6950000000000016</v>
      </c>
    </row>
    <row r="252" spans="10:12" s="1" customFormat="1" x14ac:dyDescent="0.25">
      <c r="J252" s="47">
        <v>26.6</v>
      </c>
      <c r="K252" s="897">
        <f t="shared" si="11"/>
        <v>3.0000000000000006E-2</v>
      </c>
      <c r="L252" s="898">
        <f t="shared" si="13"/>
        <v>1.6980000000000017</v>
      </c>
    </row>
    <row r="253" spans="10:12" s="1" customFormat="1" x14ac:dyDescent="0.25">
      <c r="J253" s="47">
        <v>26.7</v>
      </c>
      <c r="K253" s="897">
        <f t="shared" si="11"/>
        <v>3.0000000000000006E-2</v>
      </c>
      <c r="L253" s="898">
        <f t="shared" si="13"/>
        <v>1.7010000000000016</v>
      </c>
    </row>
    <row r="254" spans="10:12" s="1" customFormat="1" x14ac:dyDescent="0.25">
      <c r="J254" s="47">
        <v>26.8</v>
      </c>
      <c r="K254" s="897">
        <f t="shared" si="11"/>
        <v>3.0000000000000006E-2</v>
      </c>
      <c r="L254" s="898">
        <f t="shared" si="13"/>
        <v>1.7040000000000017</v>
      </c>
    </row>
    <row r="255" spans="10:12" s="1" customFormat="1" x14ac:dyDescent="0.25">
      <c r="J255" s="47">
        <v>26.9</v>
      </c>
      <c r="K255" s="897">
        <f t="shared" si="11"/>
        <v>3.0000000000000006E-2</v>
      </c>
      <c r="L255" s="898">
        <f t="shared" si="13"/>
        <v>1.7070000000000016</v>
      </c>
    </row>
    <row r="256" spans="10:12" s="1" customFormat="1" x14ac:dyDescent="0.25">
      <c r="J256" s="47">
        <v>27</v>
      </c>
      <c r="K256" s="897">
        <f t="shared" si="11"/>
        <v>3.0000000000000006E-2</v>
      </c>
      <c r="L256" s="898">
        <f t="shared" si="13"/>
        <v>1.7100000000000017</v>
      </c>
    </row>
    <row r="257" spans="10:12" s="1" customFormat="1" x14ac:dyDescent="0.25">
      <c r="J257" s="47">
        <v>27.1</v>
      </c>
      <c r="K257" s="897">
        <f t="shared" si="11"/>
        <v>3.0000000000000006E-2</v>
      </c>
      <c r="L257" s="898">
        <f t="shared" si="13"/>
        <v>1.7130000000000019</v>
      </c>
    </row>
    <row r="258" spans="10:12" s="1" customFormat="1" x14ac:dyDescent="0.25">
      <c r="J258" s="47">
        <v>27.2</v>
      </c>
      <c r="K258" s="897">
        <f t="shared" si="11"/>
        <v>3.0000000000000006E-2</v>
      </c>
      <c r="L258" s="898">
        <f t="shared" si="13"/>
        <v>1.7160000000000017</v>
      </c>
    </row>
    <row r="259" spans="10:12" s="1" customFormat="1" x14ac:dyDescent="0.25">
      <c r="J259" s="47">
        <v>27.3</v>
      </c>
      <c r="K259" s="897">
        <f t="shared" si="11"/>
        <v>3.0000000000000006E-2</v>
      </c>
      <c r="L259" s="898">
        <f t="shared" si="13"/>
        <v>1.7190000000000019</v>
      </c>
    </row>
    <row r="260" spans="10:12" s="1" customFormat="1" x14ac:dyDescent="0.25">
      <c r="J260" s="47">
        <v>27.4</v>
      </c>
      <c r="K260" s="897">
        <f t="shared" si="11"/>
        <v>3.0000000000000006E-2</v>
      </c>
      <c r="L260" s="898">
        <f t="shared" si="13"/>
        <v>1.7220000000000018</v>
      </c>
    </row>
    <row r="261" spans="10:12" s="1" customFormat="1" x14ac:dyDescent="0.25">
      <c r="J261" s="47">
        <v>27.5</v>
      </c>
      <c r="K261" s="897">
        <f t="shared" si="11"/>
        <v>3.0000000000000006E-2</v>
      </c>
      <c r="L261" s="898">
        <f t="shared" si="13"/>
        <v>1.7250000000000019</v>
      </c>
    </row>
    <row r="262" spans="10:12" s="1" customFormat="1" x14ac:dyDescent="0.25">
      <c r="J262" s="47">
        <v>27.6</v>
      </c>
      <c r="K262" s="897">
        <f t="shared" ref="K262:K325" si="14">LOOKUP(J262,$C$6:$C$17,$H$6:$H$17)</f>
        <v>3.0000000000000006E-2</v>
      </c>
      <c r="L262" s="898">
        <f t="shared" si="13"/>
        <v>1.728000000000002</v>
      </c>
    </row>
    <row r="263" spans="10:12" s="1" customFormat="1" x14ac:dyDescent="0.25">
      <c r="J263" s="47">
        <v>27.7</v>
      </c>
      <c r="K263" s="897">
        <f t="shared" si="14"/>
        <v>3.0000000000000006E-2</v>
      </c>
      <c r="L263" s="898">
        <f t="shared" si="13"/>
        <v>1.7310000000000019</v>
      </c>
    </row>
    <row r="264" spans="10:12" s="1" customFormat="1" x14ac:dyDescent="0.25">
      <c r="J264" s="47">
        <v>27.8</v>
      </c>
      <c r="K264" s="897">
        <f t="shared" si="14"/>
        <v>3.0000000000000006E-2</v>
      </c>
      <c r="L264" s="898">
        <f t="shared" si="13"/>
        <v>1.734000000000002</v>
      </c>
    </row>
    <row r="265" spans="10:12" s="1" customFormat="1" x14ac:dyDescent="0.25">
      <c r="J265" s="47">
        <v>27.9</v>
      </c>
      <c r="K265" s="897">
        <f t="shared" si="14"/>
        <v>3.0000000000000006E-2</v>
      </c>
      <c r="L265" s="898">
        <f t="shared" si="13"/>
        <v>1.7370000000000019</v>
      </c>
    </row>
    <row r="266" spans="10:12" s="1" customFormat="1" x14ac:dyDescent="0.25">
      <c r="J266" s="47">
        <v>28</v>
      </c>
      <c r="K266" s="897">
        <f t="shared" si="14"/>
        <v>3.0000000000000006E-2</v>
      </c>
      <c r="L266" s="898">
        <f t="shared" si="13"/>
        <v>1.740000000000002</v>
      </c>
    </row>
    <row r="267" spans="10:12" s="1" customFormat="1" x14ac:dyDescent="0.25">
      <c r="J267" s="47">
        <v>28.1</v>
      </c>
      <c r="K267" s="897">
        <f t="shared" si="14"/>
        <v>3.0000000000000006E-2</v>
      </c>
      <c r="L267" s="898">
        <f t="shared" si="13"/>
        <v>1.7430000000000021</v>
      </c>
    </row>
    <row r="268" spans="10:12" s="1" customFormat="1" x14ac:dyDescent="0.25">
      <c r="J268" s="47">
        <v>28.2</v>
      </c>
      <c r="K268" s="897">
        <f t="shared" si="14"/>
        <v>3.0000000000000006E-2</v>
      </c>
      <c r="L268" s="898">
        <f t="shared" si="13"/>
        <v>1.746000000000002</v>
      </c>
    </row>
    <row r="269" spans="10:12" s="1" customFormat="1" x14ac:dyDescent="0.25">
      <c r="J269" s="47">
        <v>28.3</v>
      </c>
      <c r="K269" s="897">
        <f t="shared" si="14"/>
        <v>3.0000000000000006E-2</v>
      </c>
      <c r="L269" s="898">
        <f t="shared" si="13"/>
        <v>1.7490000000000021</v>
      </c>
    </row>
    <row r="270" spans="10:12" s="1" customFormat="1" x14ac:dyDescent="0.25">
      <c r="J270" s="47">
        <v>28.4</v>
      </c>
      <c r="K270" s="897">
        <f t="shared" si="14"/>
        <v>3.0000000000000006E-2</v>
      </c>
      <c r="L270" s="898">
        <f t="shared" si="13"/>
        <v>1.752000000000002</v>
      </c>
    </row>
    <row r="271" spans="10:12" s="1" customFormat="1" x14ac:dyDescent="0.25">
      <c r="J271" s="47">
        <v>28.5</v>
      </c>
      <c r="K271" s="897">
        <f t="shared" si="14"/>
        <v>3.0000000000000006E-2</v>
      </c>
      <c r="L271" s="898">
        <f t="shared" si="13"/>
        <v>1.7550000000000021</v>
      </c>
    </row>
    <row r="272" spans="10:12" s="1" customFormat="1" x14ac:dyDescent="0.25">
      <c r="J272" s="47">
        <v>28.6</v>
      </c>
      <c r="K272" s="897">
        <f t="shared" si="14"/>
        <v>3.0000000000000006E-2</v>
      </c>
      <c r="L272" s="898">
        <f t="shared" si="13"/>
        <v>1.7580000000000022</v>
      </c>
    </row>
    <row r="273" spans="10:12" s="1" customFormat="1" x14ac:dyDescent="0.25">
      <c r="J273" s="47">
        <v>28.7</v>
      </c>
      <c r="K273" s="897">
        <f t="shared" si="14"/>
        <v>3.0000000000000006E-2</v>
      </c>
      <c r="L273" s="898">
        <f t="shared" si="13"/>
        <v>1.7610000000000021</v>
      </c>
    </row>
    <row r="274" spans="10:12" s="1" customFormat="1" x14ac:dyDescent="0.25">
      <c r="J274" s="47">
        <v>28.8</v>
      </c>
      <c r="K274" s="897">
        <f t="shared" si="14"/>
        <v>3.0000000000000006E-2</v>
      </c>
      <c r="L274" s="898">
        <f t="shared" si="13"/>
        <v>1.7640000000000022</v>
      </c>
    </row>
    <row r="275" spans="10:12" s="1" customFormat="1" x14ac:dyDescent="0.25">
      <c r="J275" s="47">
        <v>28.9</v>
      </c>
      <c r="K275" s="897">
        <f t="shared" si="14"/>
        <v>3.0000000000000006E-2</v>
      </c>
      <c r="L275" s="898">
        <f t="shared" si="13"/>
        <v>1.7670000000000021</v>
      </c>
    </row>
    <row r="276" spans="10:12" s="1" customFormat="1" x14ac:dyDescent="0.25">
      <c r="J276" s="47">
        <v>29</v>
      </c>
      <c r="K276" s="897">
        <f t="shared" si="14"/>
        <v>3.0000000000000006E-2</v>
      </c>
      <c r="L276" s="898">
        <f t="shared" si="13"/>
        <v>1.7700000000000022</v>
      </c>
    </row>
    <row r="277" spans="10:12" s="1" customFormat="1" x14ac:dyDescent="0.25">
      <c r="J277" s="47">
        <v>29.1</v>
      </c>
      <c r="K277" s="897">
        <f t="shared" si="14"/>
        <v>3.0000000000000006E-2</v>
      </c>
      <c r="L277" s="898">
        <f t="shared" si="13"/>
        <v>1.7730000000000024</v>
      </c>
    </row>
    <row r="278" spans="10:12" s="1" customFormat="1" x14ac:dyDescent="0.25">
      <c r="J278" s="47">
        <v>29.2</v>
      </c>
      <c r="K278" s="897">
        <f t="shared" si="14"/>
        <v>3.0000000000000006E-2</v>
      </c>
      <c r="L278" s="898">
        <f t="shared" si="13"/>
        <v>1.7760000000000022</v>
      </c>
    </row>
    <row r="279" spans="10:12" s="1" customFormat="1" x14ac:dyDescent="0.25">
      <c r="J279" s="47">
        <v>29.3</v>
      </c>
      <c r="K279" s="897">
        <f t="shared" si="14"/>
        <v>3.0000000000000006E-2</v>
      </c>
      <c r="L279" s="898">
        <f t="shared" si="13"/>
        <v>1.7790000000000024</v>
      </c>
    </row>
    <row r="280" spans="10:12" s="1" customFormat="1" x14ac:dyDescent="0.25">
      <c r="J280" s="47">
        <v>29.4</v>
      </c>
      <c r="K280" s="897">
        <f t="shared" si="14"/>
        <v>3.0000000000000006E-2</v>
      </c>
      <c r="L280" s="898">
        <f t="shared" si="13"/>
        <v>1.7820000000000022</v>
      </c>
    </row>
    <row r="281" spans="10:12" s="1" customFormat="1" x14ac:dyDescent="0.25">
      <c r="J281" s="47">
        <v>29.5</v>
      </c>
      <c r="K281" s="897">
        <f t="shared" si="14"/>
        <v>3.0000000000000006E-2</v>
      </c>
      <c r="L281" s="898">
        <f t="shared" si="13"/>
        <v>1.7850000000000024</v>
      </c>
    </row>
    <row r="282" spans="10:12" s="1" customFormat="1" x14ac:dyDescent="0.25">
      <c r="J282" s="47">
        <v>29.6</v>
      </c>
      <c r="K282" s="897">
        <f t="shared" si="14"/>
        <v>3.0000000000000006E-2</v>
      </c>
      <c r="L282" s="898">
        <f t="shared" si="13"/>
        <v>1.7880000000000025</v>
      </c>
    </row>
    <row r="283" spans="10:12" s="1" customFormat="1" x14ac:dyDescent="0.25">
      <c r="J283" s="47">
        <v>29.7</v>
      </c>
      <c r="K283" s="897">
        <f t="shared" si="14"/>
        <v>3.0000000000000006E-2</v>
      </c>
      <c r="L283" s="898">
        <f>L282+(K283)*(J283-J282)</f>
        <v>1.7910000000000024</v>
      </c>
    </row>
    <row r="284" spans="10:12" s="1" customFormat="1" x14ac:dyDescent="0.25">
      <c r="J284" s="47">
        <v>29.8</v>
      </c>
      <c r="K284" s="897">
        <f t="shared" si="14"/>
        <v>3.0000000000000006E-2</v>
      </c>
      <c r="L284" s="898">
        <f>L283+(K284)*(J284-J283)</f>
        <v>1.7940000000000025</v>
      </c>
    </row>
    <row r="285" spans="10:12" s="1" customFormat="1" x14ac:dyDescent="0.25">
      <c r="J285" s="47">
        <v>29.9</v>
      </c>
      <c r="K285" s="897">
        <f t="shared" si="14"/>
        <v>3.0000000000000006E-2</v>
      </c>
      <c r="L285" s="898">
        <f>L284+(K285)*(J285-J284)</f>
        <v>1.7970000000000024</v>
      </c>
    </row>
    <row r="286" spans="10:12" s="1" customFormat="1" x14ac:dyDescent="0.25">
      <c r="J286" s="47">
        <v>30</v>
      </c>
      <c r="K286" s="897">
        <f t="shared" si="14"/>
        <v>3.0000000000000006E-2</v>
      </c>
      <c r="L286" s="898">
        <v>1.8</v>
      </c>
    </row>
    <row r="287" spans="10:12" s="1" customFormat="1" x14ac:dyDescent="0.25">
      <c r="J287" s="47">
        <v>30.1</v>
      </c>
      <c r="K287" s="897">
        <f t="shared" si="14"/>
        <v>3.0000000000000006E-2</v>
      </c>
      <c r="L287" s="898">
        <f t="shared" ref="L287:L318" si="15">L286+(K287)*(J287-J286)</f>
        <v>1.8030000000000002</v>
      </c>
    </row>
    <row r="288" spans="10:12" s="1" customFormat="1" x14ac:dyDescent="0.25">
      <c r="J288" s="47">
        <v>30.2</v>
      </c>
      <c r="K288" s="897">
        <f t="shared" si="14"/>
        <v>3.0000000000000006E-2</v>
      </c>
      <c r="L288" s="898">
        <f t="shared" si="15"/>
        <v>1.806</v>
      </c>
    </row>
    <row r="289" spans="10:12" s="1" customFormat="1" x14ac:dyDescent="0.25">
      <c r="J289" s="47">
        <v>30.3</v>
      </c>
      <c r="K289" s="897">
        <f t="shared" si="14"/>
        <v>3.0000000000000006E-2</v>
      </c>
      <c r="L289" s="898">
        <f t="shared" si="15"/>
        <v>1.8090000000000002</v>
      </c>
    </row>
    <row r="290" spans="10:12" s="1" customFormat="1" x14ac:dyDescent="0.25">
      <c r="J290" s="47">
        <v>30.4</v>
      </c>
      <c r="K290" s="897">
        <f t="shared" si="14"/>
        <v>3.0000000000000006E-2</v>
      </c>
      <c r="L290" s="898">
        <f t="shared" si="15"/>
        <v>1.8120000000000001</v>
      </c>
    </row>
    <row r="291" spans="10:12" s="1" customFormat="1" x14ac:dyDescent="0.25">
      <c r="J291" s="47">
        <v>30.5</v>
      </c>
      <c r="K291" s="897">
        <f t="shared" si="14"/>
        <v>3.0000000000000006E-2</v>
      </c>
      <c r="L291" s="898">
        <f t="shared" si="15"/>
        <v>1.8150000000000002</v>
      </c>
    </row>
    <row r="292" spans="10:12" s="1" customFormat="1" x14ac:dyDescent="0.25">
      <c r="J292" s="47">
        <v>30.6</v>
      </c>
      <c r="K292" s="897">
        <f t="shared" si="14"/>
        <v>3.0000000000000006E-2</v>
      </c>
      <c r="L292" s="898">
        <f t="shared" si="15"/>
        <v>1.8180000000000003</v>
      </c>
    </row>
    <row r="293" spans="10:12" s="1" customFormat="1" x14ac:dyDescent="0.25">
      <c r="J293" s="47">
        <v>30.7</v>
      </c>
      <c r="K293" s="897">
        <f t="shared" si="14"/>
        <v>3.0000000000000006E-2</v>
      </c>
      <c r="L293" s="898">
        <f t="shared" si="15"/>
        <v>1.8210000000000002</v>
      </c>
    </row>
    <row r="294" spans="10:12" s="1" customFormat="1" x14ac:dyDescent="0.25">
      <c r="J294" s="47">
        <v>30.8</v>
      </c>
      <c r="K294" s="897">
        <f t="shared" si="14"/>
        <v>3.0000000000000006E-2</v>
      </c>
      <c r="L294" s="898">
        <f t="shared" si="15"/>
        <v>1.8240000000000003</v>
      </c>
    </row>
    <row r="295" spans="10:12" s="1" customFormat="1" x14ac:dyDescent="0.25">
      <c r="J295" s="47">
        <v>30.9</v>
      </c>
      <c r="K295" s="897">
        <f t="shared" si="14"/>
        <v>3.0000000000000006E-2</v>
      </c>
      <c r="L295" s="898">
        <f t="shared" si="15"/>
        <v>1.8270000000000002</v>
      </c>
    </row>
    <row r="296" spans="10:12" s="1" customFormat="1" x14ac:dyDescent="0.25">
      <c r="J296" s="47">
        <v>31</v>
      </c>
      <c r="K296" s="897">
        <f t="shared" si="14"/>
        <v>3.0000000000000006E-2</v>
      </c>
      <c r="L296" s="898">
        <f t="shared" si="15"/>
        <v>1.8300000000000003</v>
      </c>
    </row>
    <row r="297" spans="10:12" s="1" customFormat="1" x14ac:dyDescent="0.25">
      <c r="J297" s="47">
        <v>31.1</v>
      </c>
      <c r="K297" s="897">
        <f t="shared" si="14"/>
        <v>3.0000000000000006E-2</v>
      </c>
      <c r="L297" s="898">
        <f t="shared" si="15"/>
        <v>1.8330000000000004</v>
      </c>
    </row>
    <row r="298" spans="10:12" s="1" customFormat="1" x14ac:dyDescent="0.25">
      <c r="J298" s="47">
        <v>31.2</v>
      </c>
      <c r="K298" s="897">
        <f t="shared" si="14"/>
        <v>3.0000000000000006E-2</v>
      </c>
      <c r="L298" s="898">
        <f t="shared" si="15"/>
        <v>1.8360000000000003</v>
      </c>
    </row>
    <row r="299" spans="10:12" s="1" customFormat="1" x14ac:dyDescent="0.25">
      <c r="J299" s="47">
        <v>31.3</v>
      </c>
      <c r="K299" s="897">
        <f t="shared" si="14"/>
        <v>3.0000000000000006E-2</v>
      </c>
      <c r="L299" s="898">
        <f t="shared" si="15"/>
        <v>1.8390000000000004</v>
      </c>
    </row>
    <row r="300" spans="10:12" s="1" customFormat="1" x14ac:dyDescent="0.25">
      <c r="J300" s="47">
        <v>31.4</v>
      </c>
      <c r="K300" s="897">
        <f t="shared" si="14"/>
        <v>3.0000000000000006E-2</v>
      </c>
      <c r="L300" s="898">
        <f t="shared" si="15"/>
        <v>1.8420000000000003</v>
      </c>
    </row>
    <row r="301" spans="10:12" s="1" customFormat="1" x14ac:dyDescent="0.25">
      <c r="J301" s="47">
        <v>31.5</v>
      </c>
      <c r="K301" s="897">
        <f t="shared" si="14"/>
        <v>3.0000000000000006E-2</v>
      </c>
      <c r="L301" s="898">
        <f t="shared" si="15"/>
        <v>1.8450000000000004</v>
      </c>
    </row>
    <row r="302" spans="10:12" s="1" customFormat="1" x14ac:dyDescent="0.25">
      <c r="J302" s="47">
        <v>31.6</v>
      </c>
      <c r="K302" s="897">
        <f t="shared" si="14"/>
        <v>3.0000000000000006E-2</v>
      </c>
      <c r="L302" s="898">
        <f t="shared" si="15"/>
        <v>1.8480000000000005</v>
      </c>
    </row>
    <row r="303" spans="10:12" s="1" customFormat="1" x14ac:dyDescent="0.25">
      <c r="J303" s="47">
        <v>31.7</v>
      </c>
      <c r="K303" s="897">
        <f t="shared" si="14"/>
        <v>3.0000000000000006E-2</v>
      </c>
      <c r="L303" s="898">
        <f t="shared" si="15"/>
        <v>1.8510000000000004</v>
      </c>
    </row>
    <row r="304" spans="10:12" s="1" customFormat="1" x14ac:dyDescent="0.25">
      <c r="J304" s="47">
        <v>31.8</v>
      </c>
      <c r="K304" s="897">
        <f t="shared" si="14"/>
        <v>3.0000000000000006E-2</v>
      </c>
      <c r="L304" s="898">
        <f t="shared" si="15"/>
        <v>1.8540000000000005</v>
      </c>
    </row>
    <row r="305" spans="10:12" s="1" customFormat="1" x14ac:dyDescent="0.25">
      <c r="J305" s="47">
        <v>31.9</v>
      </c>
      <c r="K305" s="897">
        <f t="shared" si="14"/>
        <v>3.0000000000000006E-2</v>
      </c>
      <c r="L305" s="898">
        <f t="shared" si="15"/>
        <v>1.8570000000000004</v>
      </c>
    </row>
    <row r="306" spans="10:12" s="1" customFormat="1" x14ac:dyDescent="0.25">
      <c r="J306" s="47">
        <v>32</v>
      </c>
      <c r="K306" s="897">
        <f t="shared" si="14"/>
        <v>3.0000000000000006E-2</v>
      </c>
      <c r="L306" s="898">
        <f t="shared" si="15"/>
        <v>1.8600000000000005</v>
      </c>
    </row>
    <row r="307" spans="10:12" s="1" customFormat="1" x14ac:dyDescent="0.25">
      <c r="J307" s="47">
        <v>32.1</v>
      </c>
      <c r="K307" s="897">
        <f t="shared" si="14"/>
        <v>3.0000000000000006E-2</v>
      </c>
      <c r="L307" s="898">
        <f t="shared" si="15"/>
        <v>1.8630000000000007</v>
      </c>
    </row>
    <row r="308" spans="10:12" s="1" customFormat="1" x14ac:dyDescent="0.25">
      <c r="J308" s="47">
        <v>32.200000000000003</v>
      </c>
      <c r="K308" s="897">
        <f t="shared" si="14"/>
        <v>3.0000000000000006E-2</v>
      </c>
      <c r="L308" s="898">
        <f t="shared" si="15"/>
        <v>1.8660000000000008</v>
      </c>
    </row>
    <row r="309" spans="10:12" s="1" customFormat="1" x14ac:dyDescent="0.25">
      <c r="J309" s="47">
        <v>32.299999999999997</v>
      </c>
      <c r="K309" s="897">
        <f t="shared" si="14"/>
        <v>3.0000000000000006E-2</v>
      </c>
      <c r="L309" s="898">
        <f t="shared" si="15"/>
        <v>1.8690000000000007</v>
      </c>
    </row>
    <row r="310" spans="10:12" s="1" customFormat="1" x14ac:dyDescent="0.25">
      <c r="J310" s="47">
        <v>32.4</v>
      </c>
      <c r="K310" s="897">
        <f t="shared" si="14"/>
        <v>3.0000000000000006E-2</v>
      </c>
      <c r="L310" s="898">
        <f t="shared" si="15"/>
        <v>1.8720000000000008</v>
      </c>
    </row>
    <row r="311" spans="10:12" s="1" customFormat="1" x14ac:dyDescent="0.25">
      <c r="J311" s="47">
        <v>32.5</v>
      </c>
      <c r="K311" s="897">
        <f t="shared" si="14"/>
        <v>3.0000000000000006E-2</v>
      </c>
      <c r="L311" s="898">
        <f t="shared" si="15"/>
        <v>1.8750000000000009</v>
      </c>
    </row>
    <row r="312" spans="10:12" s="1" customFormat="1" x14ac:dyDescent="0.25">
      <c r="J312" s="47">
        <v>32.6</v>
      </c>
      <c r="K312" s="897">
        <f t="shared" si="14"/>
        <v>3.0000000000000006E-2</v>
      </c>
      <c r="L312" s="898">
        <f t="shared" si="15"/>
        <v>1.878000000000001</v>
      </c>
    </row>
    <row r="313" spans="10:12" s="1" customFormat="1" x14ac:dyDescent="0.25">
      <c r="J313" s="47">
        <v>32.700000000000003</v>
      </c>
      <c r="K313" s="897">
        <f t="shared" si="14"/>
        <v>3.0000000000000006E-2</v>
      </c>
      <c r="L313" s="898">
        <f t="shared" si="15"/>
        <v>1.8810000000000011</v>
      </c>
    </row>
    <row r="314" spans="10:12" s="1" customFormat="1" x14ac:dyDescent="0.25">
      <c r="J314" s="47">
        <v>32.799999999999997</v>
      </c>
      <c r="K314" s="897">
        <f t="shared" si="14"/>
        <v>3.0000000000000006E-2</v>
      </c>
      <c r="L314" s="898">
        <f t="shared" si="15"/>
        <v>1.884000000000001</v>
      </c>
    </row>
    <row r="315" spans="10:12" s="1" customFormat="1" x14ac:dyDescent="0.25">
      <c r="J315" s="47">
        <v>32.9</v>
      </c>
      <c r="K315" s="897">
        <f t="shared" si="14"/>
        <v>3.0000000000000006E-2</v>
      </c>
      <c r="L315" s="898">
        <f t="shared" si="15"/>
        <v>1.8870000000000011</v>
      </c>
    </row>
    <row r="316" spans="10:12" s="1" customFormat="1" x14ac:dyDescent="0.25">
      <c r="J316" s="47">
        <v>33</v>
      </c>
      <c r="K316" s="897">
        <f t="shared" si="14"/>
        <v>3.0000000000000006E-2</v>
      </c>
      <c r="L316" s="898">
        <f t="shared" si="15"/>
        <v>1.8900000000000012</v>
      </c>
    </row>
    <row r="317" spans="10:12" s="1" customFormat="1" x14ac:dyDescent="0.25">
      <c r="J317" s="47">
        <v>33.1</v>
      </c>
      <c r="K317" s="897">
        <f t="shared" si="14"/>
        <v>3.0000000000000006E-2</v>
      </c>
      <c r="L317" s="898">
        <f t="shared" si="15"/>
        <v>1.8930000000000013</v>
      </c>
    </row>
    <row r="318" spans="10:12" s="1" customFormat="1" x14ac:dyDescent="0.25">
      <c r="J318" s="47">
        <v>33.200000000000003</v>
      </c>
      <c r="K318" s="897">
        <f t="shared" si="14"/>
        <v>3.0000000000000006E-2</v>
      </c>
      <c r="L318" s="898">
        <f t="shared" si="15"/>
        <v>1.8960000000000015</v>
      </c>
    </row>
    <row r="319" spans="10:12" s="1" customFormat="1" x14ac:dyDescent="0.25">
      <c r="J319" s="47">
        <v>33.299999999999997</v>
      </c>
      <c r="K319" s="897">
        <f t="shared" si="14"/>
        <v>3.0000000000000006E-2</v>
      </c>
      <c r="L319" s="898">
        <f t="shared" ref="L319:L350" si="16">L318+(K319)*(J319-J318)</f>
        <v>1.8990000000000014</v>
      </c>
    </row>
    <row r="320" spans="10:12" s="1" customFormat="1" x14ac:dyDescent="0.25">
      <c r="J320" s="47">
        <v>33.4</v>
      </c>
      <c r="K320" s="897">
        <f t="shared" si="14"/>
        <v>3.0000000000000006E-2</v>
      </c>
      <c r="L320" s="898">
        <f t="shared" si="16"/>
        <v>1.9020000000000015</v>
      </c>
    </row>
    <row r="321" spans="10:12" s="1" customFormat="1" x14ac:dyDescent="0.25">
      <c r="J321" s="47">
        <v>33.5</v>
      </c>
      <c r="K321" s="897">
        <f t="shared" si="14"/>
        <v>3.0000000000000006E-2</v>
      </c>
      <c r="L321" s="898">
        <f t="shared" si="16"/>
        <v>1.9050000000000016</v>
      </c>
    </row>
    <row r="322" spans="10:12" s="1" customFormat="1" x14ac:dyDescent="0.25">
      <c r="J322" s="47">
        <v>33.6</v>
      </c>
      <c r="K322" s="897">
        <f t="shared" si="14"/>
        <v>3.0000000000000006E-2</v>
      </c>
      <c r="L322" s="898">
        <f t="shared" si="16"/>
        <v>1.9080000000000017</v>
      </c>
    </row>
    <row r="323" spans="10:12" s="1" customFormat="1" x14ac:dyDescent="0.25">
      <c r="J323" s="47">
        <v>33.700000000000003</v>
      </c>
      <c r="K323" s="897">
        <f t="shared" si="14"/>
        <v>3.0000000000000006E-2</v>
      </c>
      <c r="L323" s="898">
        <f t="shared" si="16"/>
        <v>1.9110000000000018</v>
      </c>
    </row>
    <row r="324" spans="10:12" s="1" customFormat="1" x14ac:dyDescent="0.25">
      <c r="J324" s="47">
        <v>33.799999999999997</v>
      </c>
      <c r="K324" s="897">
        <f t="shared" si="14"/>
        <v>3.0000000000000006E-2</v>
      </c>
      <c r="L324" s="898">
        <f t="shared" si="16"/>
        <v>1.9140000000000017</v>
      </c>
    </row>
    <row r="325" spans="10:12" s="1" customFormat="1" x14ac:dyDescent="0.25">
      <c r="J325" s="47">
        <v>33.9</v>
      </c>
      <c r="K325" s="897">
        <f t="shared" si="14"/>
        <v>3.0000000000000006E-2</v>
      </c>
      <c r="L325" s="898">
        <f t="shared" si="16"/>
        <v>1.9170000000000018</v>
      </c>
    </row>
    <row r="326" spans="10:12" s="1" customFormat="1" x14ac:dyDescent="0.25">
      <c r="J326" s="47">
        <v>34</v>
      </c>
      <c r="K326" s="897">
        <f t="shared" ref="K326:K389" si="17">LOOKUP(J326,$C$6:$C$17,$H$6:$H$17)</f>
        <v>3.0000000000000006E-2</v>
      </c>
      <c r="L326" s="898">
        <f t="shared" si="16"/>
        <v>1.9200000000000019</v>
      </c>
    </row>
    <row r="327" spans="10:12" s="1" customFormat="1" x14ac:dyDescent="0.25">
      <c r="J327" s="47">
        <v>34.1</v>
      </c>
      <c r="K327" s="897">
        <f t="shared" si="17"/>
        <v>3.0000000000000006E-2</v>
      </c>
      <c r="L327" s="898">
        <f t="shared" si="16"/>
        <v>1.923000000000002</v>
      </c>
    </row>
    <row r="328" spans="10:12" s="1" customFormat="1" x14ac:dyDescent="0.25">
      <c r="J328" s="47">
        <v>34.200000000000003</v>
      </c>
      <c r="K328" s="897">
        <f t="shared" si="17"/>
        <v>3.0000000000000006E-2</v>
      </c>
      <c r="L328" s="898">
        <f t="shared" si="16"/>
        <v>1.9260000000000022</v>
      </c>
    </row>
    <row r="329" spans="10:12" s="1" customFormat="1" x14ac:dyDescent="0.25">
      <c r="J329" s="47">
        <v>34.299999999999997</v>
      </c>
      <c r="K329" s="897">
        <f t="shared" si="17"/>
        <v>3.0000000000000006E-2</v>
      </c>
      <c r="L329" s="898">
        <f t="shared" si="16"/>
        <v>1.929000000000002</v>
      </c>
    </row>
    <row r="330" spans="10:12" s="1" customFormat="1" x14ac:dyDescent="0.25">
      <c r="J330" s="47">
        <v>34.4</v>
      </c>
      <c r="K330" s="897">
        <f t="shared" si="17"/>
        <v>3.0000000000000006E-2</v>
      </c>
      <c r="L330" s="898">
        <f t="shared" si="16"/>
        <v>1.9320000000000022</v>
      </c>
    </row>
    <row r="331" spans="10:12" s="1" customFormat="1" x14ac:dyDescent="0.25">
      <c r="J331" s="47">
        <v>34.5</v>
      </c>
      <c r="K331" s="897">
        <f t="shared" si="17"/>
        <v>3.0000000000000006E-2</v>
      </c>
      <c r="L331" s="898">
        <f t="shared" si="16"/>
        <v>1.9350000000000023</v>
      </c>
    </row>
    <row r="332" spans="10:12" s="1" customFormat="1" x14ac:dyDescent="0.25">
      <c r="J332" s="47">
        <v>34.6</v>
      </c>
      <c r="K332" s="897">
        <f t="shared" si="17"/>
        <v>3.0000000000000006E-2</v>
      </c>
      <c r="L332" s="898">
        <f t="shared" si="16"/>
        <v>1.9380000000000024</v>
      </c>
    </row>
    <row r="333" spans="10:12" s="1" customFormat="1" x14ac:dyDescent="0.25">
      <c r="J333" s="47">
        <v>34.700000000000003</v>
      </c>
      <c r="K333" s="897">
        <f t="shared" si="17"/>
        <v>3.0000000000000006E-2</v>
      </c>
      <c r="L333" s="898">
        <f t="shared" si="16"/>
        <v>1.9410000000000025</v>
      </c>
    </row>
    <row r="334" spans="10:12" s="1" customFormat="1" x14ac:dyDescent="0.25">
      <c r="J334" s="47">
        <v>34.799999999999997</v>
      </c>
      <c r="K334" s="897">
        <f t="shared" si="17"/>
        <v>3.0000000000000006E-2</v>
      </c>
      <c r="L334" s="898">
        <f t="shared" si="16"/>
        <v>1.9440000000000024</v>
      </c>
    </row>
    <row r="335" spans="10:12" s="1" customFormat="1" x14ac:dyDescent="0.25">
      <c r="J335" s="47">
        <v>34.9</v>
      </c>
      <c r="K335" s="897">
        <f t="shared" si="17"/>
        <v>3.0000000000000006E-2</v>
      </c>
      <c r="L335" s="898">
        <f t="shared" si="16"/>
        <v>1.9470000000000025</v>
      </c>
    </row>
    <row r="336" spans="10:12" s="1" customFormat="1" x14ac:dyDescent="0.25">
      <c r="J336" s="47">
        <v>35</v>
      </c>
      <c r="K336" s="897">
        <f t="shared" si="17"/>
        <v>3.0000000000000006E-2</v>
      </c>
      <c r="L336" s="898">
        <f t="shared" si="16"/>
        <v>1.9500000000000026</v>
      </c>
    </row>
    <row r="337" spans="10:12" s="1" customFormat="1" x14ac:dyDescent="0.25">
      <c r="J337" s="47">
        <v>35.1</v>
      </c>
      <c r="K337" s="897">
        <f t="shared" si="17"/>
        <v>3.0000000000000006E-2</v>
      </c>
      <c r="L337" s="898">
        <f t="shared" si="16"/>
        <v>1.9530000000000027</v>
      </c>
    </row>
    <row r="338" spans="10:12" s="1" customFormat="1" x14ac:dyDescent="0.25">
      <c r="J338" s="47">
        <v>35.200000000000003</v>
      </c>
      <c r="K338" s="897">
        <f t="shared" si="17"/>
        <v>3.0000000000000006E-2</v>
      </c>
      <c r="L338" s="898">
        <f t="shared" si="16"/>
        <v>1.9560000000000028</v>
      </c>
    </row>
    <row r="339" spans="10:12" s="1" customFormat="1" x14ac:dyDescent="0.25">
      <c r="J339" s="47">
        <v>35.299999999999997</v>
      </c>
      <c r="K339" s="897">
        <f t="shared" si="17"/>
        <v>3.0000000000000006E-2</v>
      </c>
      <c r="L339" s="898">
        <f t="shared" si="16"/>
        <v>1.9590000000000027</v>
      </c>
    </row>
    <row r="340" spans="10:12" s="1" customFormat="1" x14ac:dyDescent="0.25">
      <c r="J340" s="47">
        <v>35.4</v>
      </c>
      <c r="K340" s="897">
        <f t="shared" si="17"/>
        <v>3.0000000000000006E-2</v>
      </c>
      <c r="L340" s="898">
        <f t="shared" si="16"/>
        <v>1.9620000000000029</v>
      </c>
    </row>
    <row r="341" spans="10:12" s="1" customFormat="1" x14ac:dyDescent="0.25">
      <c r="J341" s="47">
        <v>35.5</v>
      </c>
      <c r="K341" s="897">
        <f t="shared" si="17"/>
        <v>3.0000000000000006E-2</v>
      </c>
      <c r="L341" s="898">
        <f t="shared" si="16"/>
        <v>1.965000000000003</v>
      </c>
    </row>
    <row r="342" spans="10:12" s="1" customFormat="1" x14ac:dyDescent="0.25">
      <c r="J342" s="47">
        <v>35.6</v>
      </c>
      <c r="K342" s="897">
        <f t="shared" si="17"/>
        <v>3.0000000000000006E-2</v>
      </c>
      <c r="L342" s="898">
        <f t="shared" si="16"/>
        <v>1.9680000000000031</v>
      </c>
    </row>
    <row r="343" spans="10:12" s="1" customFormat="1" x14ac:dyDescent="0.25">
      <c r="J343" s="47">
        <v>35.700000000000003</v>
      </c>
      <c r="K343" s="897">
        <f t="shared" si="17"/>
        <v>3.0000000000000006E-2</v>
      </c>
      <c r="L343" s="898">
        <f t="shared" si="16"/>
        <v>1.9710000000000032</v>
      </c>
    </row>
    <row r="344" spans="10:12" s="1" customFormat="1" x14ac:dyDescent="0.25">
      <c r="J344" s="47">
        <v>35.799999999999997</v>
      </c>
      <c r="K344" s="897">
        <f t="shared" si="17"/>
        <v>3.0000000000000006E-2</v>
      </c>
      <c r="L344" s="898">
        <f t="shared" si="16"/>
        <v>1.9740000000000031</v>
      </c>
    </row>
    <row r="345" spans="10:12" s="1" customFormat="1" x14ac:dyDescent="0.25">
      <c r="J345" s="47">
        <v>35.9</v>
      </c>
      <c r="K345" s="897">
        <f t="shared" si="17"/>
        <v>3.0000000000000006E-2</v>
      </c>
      <c r="L345" s="898">
        <f t="shared" si="16"/>
        <v>1.9770000000000032</v>
      </c>
    </row>
    <row r="346" spans="10:12" s="1" customFormat="1" x14ac:dyDescent="0.25">
      <c r="J346" s="47">
        <v>36</v>
      </c>
      <c r="K346" s="897">
        <f t="shared" si="17"/>
        <v>3.0000000000000006E-2</v>
      </c>
      <c r="L346" s="898">
        <f t="shared" si="16"/>
        <v>1.9800000000000033</v>
      </c>
    </row>
    <row r="347" spans="10:12" s="1" customFormat="1" x14ac:dyDescent="0.25">
      <c r="J347" s="47">
        <v>36.1</v>
      </c>
      <c r="K347" s="897">
        <f t="shared" si="17"/>
        <v>3.0000000000000006E-2</v>
      </c>
      <c r="L347" s="898">
        <f t="shared" si="16"/>
        <v>1.9830000000000034</v>
      </c>
    </row>
    <row r="348" spans="10:12" s="1" customFormat="1" x14ac:dyDescent="0.25">
      <c r="J348" s="47">
        <v>36.200000000000003</v>
      </c>
      <c r="K348" s="897">
        <f t="shared" si="17"/>
        <v>3.0000000000000006E-2</v>
      </c>
      <c r="L348" s="898">
        <f t="shared" si="16"/>
        <v>1.9860000000000035</v>
      </c>
    </row>
    <row r="349" spans="10:12" s="1" customFormat="1" x14ac:dyDescent="0.25">
      <c r="J349" s="47">
        <v>36.299999999999997</v>
      </c>
      <c r="K349" s="897">
        <f t="shared" si="17"/>
        <v>3.0000000000000006E-2</v>
      </c>
      <c r="L349" s="898">
        <f t="shared" si="16"/>
        <v>1.9890000000000034</v>
      </c>
    </row>
    <row r="350" spans="10:12" s="1" customFormat="1" x14ac:dyDescent="0.25">
      <c r="J350" s="47">
        <v>36.4</v>
      </c>
      <c r="K350" s="897">
        <f t="shared" si="17"/>
        <v>3.0000000000000006E-2</v>
      </c>
      <c r="L350" s="898">
        <f t="shared" si="16"/>
        <v>1.9920000000000035</v>
      </c>
    </row>
    <row r="351" spans="10:12" s="1" customFormat="1" x14ac:dyDescent="0.25">
      <c r="J351" s="47">
        <v>36.5</v>
      </c>
      <c r="K351" s="897">
        <f t="shared" si="17"/>
        <v>3.0000000000000006E-2</v>
      </c>
      <c r="L351" s="898">
        <f t="shared" ref="L351:L382" si="18">L350+(K351)*(J351-J350)</f>
        <v>1.9950000000000037</v>
      </c>
    </row>
    <row r="352" spans="10:12" s="1" customFormat="1" x14ac:dyDescent="0.25">
      <c r="J352" s="47">
        <v>36.6</v>
      </c>
      <c r="K352" s="897">
        <f t="shared" si="17"/>
        <v>3.0000000000000006E-2</v>
      </c>
      <c r="L352" s="898">
        <f t="shared" si="18"/>
        <v>1.9980000000000038</v>
      </c>
    </row>
    <row r="353" spans="10:12" s="1" customFormat="1" x14ac:dyDescent="0.25">
      <c r="J353" s="47">
        <v>36.700000000000003</v>
      </c>
      <c r="K353" s="897">
        <f t="shared" si="17"/>
        <v>3.0000000000000006E-2</v>
      </c>
      <c r="L353" s="898">
        <f t="shared" si="18"/>
        <v>2.0010000000000039</v>
      </c>
    </row>
    <row r="354" spans="10:12" s="1" customFormat="1" x14ac:dyDescent="0.25">
      <c r="J354" s="47">
        <v>36.799999999999997</v>
      </c>
      <c r="K354" s="897">
        <f t="shared" si="17"/>
        <v>3.0000000000000006E-2</v>
      </c>
      <c r="L354" s="898">
        <f t="shared" si="18"/>
        <v>2.0040000000000036</v>
      </c>
    </row>
    <row r="355" spans="10:12" s="1" customFormat="1" x14ac:dyDescent="0.25">
      <c r="J355" s="47">
        <v>36.9</v>
      </c>
      <c r="K355" s="897">
        <f t="shared" si="17"/>
        <v>3.0000000000000006E-2</v>
      </c>
      <c r="L355" s="898">
        <f t="shared" si="18"/>
        <v>2.0070000000000037</v>
      </c>
    </row>
    <row r="356" spans="10:12" s="1" customFormat="1" x14ac:dyDescent="0.25">
      <c r="J356" s="47">
        <v>37</v>
      </c>
      <c r="K356" s="897">
        <f t="shared" si="17"/>
        <v>3.0000000000000006E-2</v>
      </c>
      <c r="L356" s="898">
        <f t="shared" si="18"/>
        <v>2.0100000000000038</v>
      </c>
    </row>
    <row r="357" spans="10:12" s="1" customFormat="1" x14ac:dyDescent="0.25">
      <c r="J357" s="47">
        <v>37.1</v>
      </c>
      <c r="K357" s="897">
        <f t="shared" si="17"/>
        <v>3.0000000000000006E-2</v>
      </c>
      <c r="L357" s="898">
        <f t="shared" si="18"/>
        <v>2.0130000000000039</v>
      </c>
    </row>
    <row r="358" spans="10:12" s="1" customFormat="1" x14ac:dyDescent="0.25">
      <c r="J358" s="47">
        <v>37.200000000000003</v>
      </c>
      <c r="K358" s="897">
        <f t="shared" si="17"/>
        <v>3.0000000000000006E-2</v>
      </c>
      <c r="L358" s="898">
        <f t="shared" si="18"/>
        <v>2.016000000000004</v>
      </c>
    </row>
    <row r="359" spans="10:12" s="1" customFormat="1" x14ac:dyDescent="0.25">
      <c r="J359" s="47">
        <v>37.299999999999997</v>
      </c>
      <c r="K359" s="897">
        <f t="shared" si="17"/>
        <v>3.0000000000000006E-2</v>
      </c>
      <c r="L359" s="898">
        <f t="shared" si="18"/>
        <v>2.0190000000000037</v>
      </c>
    </row>
    <row r="360" spans="10:12" s="1" customFormat="1" x14ac:dyDescent="0.25">
      <c r="J360" s="47">
        <v>37.4</v>
      </c>
      <c r="K360" s="897">
        <f t="shared" si="17"/>
        <v>3.0000000000000006E-2</v>
      </c>
      <c r="L360" s="898">
        <f t="shared" si="18"/>
        <v>2.0220000000000038</v>
      </c>
    </row>
    <row r="361" spans="10:12" s="1" customFormat="1" x14ac:dyDescent="0.25">
      <c r="J361" s="47">
        <v>37.5</v>
      </c>
      <c r="K361" s="897">
        <f t="shared" si="17"/>
        <v>3.0000000000000006E-2</v>
      </c>
      <c r="L361" s="898">
        <f t="shared" si="18"/>
        <v>2.0250000000000039</v>
      </c>
    </row>
    <row r="362" spans="10:12" s="1" customFormat="1" x14ac:dyDescent="0.25">
      <c r="J362" s="47">
        <v>37.6</v>
      </c>
      <c r="K362" s="897">
        <f t="shared" si="17"/>
        <v>3.0000000000000006E-2</v>
      </c>
      <c r="L362" s="898">
        <f t="shared" si="18"/>
        <v>2.028000000000004</v>
      </c>
    </row>
    <row r="363" spans="10:12" s="1" customFormat="1" x14ac:dyDescent="0.25">
      <c r="J363" s="47">
        <v>37.700000000000003</v>
      </c>
      <c r="K363" s="897">
        <f t="shared" si="17"/>
        <v>3.0000000000000006E-2</v>
      </c>
      <c r="L363" s="898">
        <f t="shared" si="18"/>
        <v>2.0310000000000041</v>
      </c>
    </row>
    <row r="364" spans="10:12" s="1" customFormat="1" x14ac:dyDescent="0.25">
      <c r="J364" s="47">
        <v>37.799999999999997</v>
      </c>
      <c r="K364" s="897">
        <f t="shared" si="17"/>
        <v>3.0000000000000006E-2</v>
      </c>
      <c r="L364" s="898">
        <f t="shared" si="18"/>
        <v>2.0340000000000038</v>
      </c>
    </row>
    <row r="365" spans="10:12" s="1" customFormat="1" x14ac:dyDescent="0.25">
      <c r="J365" s="47">
        <v>37.9</v>
      </c>
      <c r="K365" s="897">
        <f t="shared" si="17"/>
        <v>3.0000000000000006E-2</v>
      </c>
      <c r="L365" s="898">
        <f t="shared" si="18"/>
        <v>2.0370000000000039</v>
      </c>
    </row>
    <row r="366" spans="10:12" s="1" customFormat="1" x14ac:dyDescent="0.25">
      <c r="J366" s="47">
        <v>38</v>
      </c>
      <c r="K366" s="897">
        <f t="shared" si="17"/>
        <v>3.0000000000000006E-2</v>
      </c>
      <c r="L366" s="898">
        <f t="shared" si="18"/>
        <v>2.040000000000004</v>
      </c>
    </row>
    <row r="367" spans="10:12" s="1" customFormat="1" x14ac:dyDescent="0.25">
      <c r="J367" s="47">
        <v>38.1</v>
      </c>
      <c r="K367" s="897">
        <f t="shared" si="17"/>
        <v>3.0000000000000006E-2</v>
      </c>
      <c r="L367" s="898">
        <f t="shared" si="18"/>
        <v>2.0430000000000041</v>
      </c>
    </row>
    <row r="368" spans="10:12" s="1" customFormat="1" x14ac:dyDescent="0.25">
      <c r="J368" s="47">
        <v>38.200000000000003</v>
      </c>
      <c r="K368" s="897">
        <f t="shared" si="17"/>
        <v>3.0000000000000006E-2</v>
      </c>
      <c r="L368" s="898">
        <f t="shared" si="18"/>
        <v>2.0460000000000043</v>
      </c>
    </row>
    <row r="369" spans="10:12" s="1" customFormat="1" x14ac:dyDescent="0.25">
      <c r="J369" s="47">
        <v>38.299999999999997</v>
      </c>
      <c r="K369" s="897">
        <f t="shared" si="17"/>
        <v>3.0000000000000006E-2</v>
      </c>
      <c r="L369" s="898">
        <f t="shared" si="18"/>
        <v>2.0490000000000039</v>
      </c>
    </row>
    <row r="370" spans="10:12" s="1" customFormat="1" x14ac:dyDescent="0.25">
      <c r="J370" s="47">
        <v>38.4</v>
      </c>
      <c r="K370" s="897">
        <f t="shared" si="17"/>
        <v>3.0000000000000006E-2</v>
      </c>
      <c r="L370" s="898">
        <f t="shared" si="18"/>
        <v>2.052000000000004</v>
      </c>
    </row>
    <row r="371" spans="10:12" s="1" customFormat="1" x14ac:dyDescent="0.25">
      <c r="J371" s="47">
        <v>38.5</v>
      </c>
      <c r="K371" s="897">
        <f t="shared" si="17"/>
        <v>3.0000000000000006E-2</v>
      </c>
      <c r="L371" s="898">
        <f t="shared" si="18"/>
        <v>2.0550000000000042</v>
      </c>
    </row>
    <row r="372" spans="10:12" s="1" customFormat="1" x14ac:dyDescent="0.25">
      <c r="J372" s="47">
        <v>38.6</v>
      </c>
      <c r="K372" s="897">
        <f t="shared" si="17"/>
        <v>3.0000000000000006E-2</v>
      </c>
      <c r="L372" s="898">
        <f t="shared" si="18"/>
        <v>2.0580000000000043</v>
      </c>
    </row>
    <row r="373" spans="10:12" s="1" customFormat="1" x14ac:dyDescent="0.25">
      <c r="J373" s="47">
        <v>38.700000000000003</v>
      </c>
      <c r="K373" s="897">
        <f t="shared" si="17"/>
        <v>3.0000000000000006E-2</v>
      </c>
      <c r="L373" s="898">
        <f t="shared" si="18"/>
        <v>2.0610000000000044</v>
      </c>
    </row>
    <row r="374" spans="10:12" s="1" customFormat="1" x14ac:dyDescent="0.25">
      <c r="J374" s="47">
        <v>38.799999999999997</v>
      </c>
      <c r="K374" s="897">
        <f t="shared" si="17"/>
        <v>3.0000000000000006E-2</v>
      </c>
      <c r="L374" s="898">
        <f t="shared" si="18"/>
        <v>2.0640000000000041</v>
      </c>
    </row>
    <row r="375" spans="10:12" s="1" customFormat="1" x14ac:dyDescent="0.25">
      <c r="J375" s="47">
        <v>38.9</v>
      </c>
      <c r="K375" s="897">
        <f t="shared" si="17"/>
        <v>3.0000000000000006E-2</v>
      </c>
      <c r="L375" s="898">
        <f t="shared" si="18"/>
        <v>2.0670000000000042</v>
      </c>
    </row>
    <row r="376" spans="10:12" s="1" customFormat="1" x14ac:dyDescent="0.25">
      <c r="J376" s="47">
        <v>39</v>
      </c>
      <c r="K376" s="897">
        <f t="shared" si="17"/>
        <v>3.0000000000000006E-2</v>
      </c>
      <c r="L376" s="898">
        <f t="shared" si="18"/>
        <v>2.0700000000000043</v>
      </c>
    </row>
    <row r="377" spans="10:12" s="1" customFormat="1" x14ac:dyDescent="0.25">
      <c r="J377" s="47">
        <v>39.1</v>
      </c>
      <c r="K377" s="897">
        <f t="shared" si="17"/>
        <v>3.0000000000000006E-2</v>
      </c>
      <c r="L377" s="898">
        <f t="shared" si="18"/>
        <v>2.0730000000000044</v>
      </c>
    </row>
    <row r="378" spans="10:12" s="1" customFormat="1" x14ac:dyDescent="0.25">
      <c r="J378" s="47">
        <v>39.200000000000003</v>
      </c>
      <c r="K378" s="897">
        <f t="shared" si="17"/>
        <v>3.0000000000000006E-2</v>
      </c>
      <c r="L378" s="898">
        <f t="shared" si="18"/>
        <v>2.0760000000000045</v>
      </c>
    </row>
    <row r="379" spans="10:12" s="1" customFormat="1" x14ac:dyDescent="0.25">
      <c r="J379" s="47">
        <v>39.299999999999997</v>
      </c>
      <c r="K379" s="897">
        <f t="shared" si="17"/>
        <v>3.0000000000000006E-2</v>
      </c>
      <c r="L379" s="898">
        <f t="shared" si="18"/>
        <v>2.0790000000000042</v>
      </c>
    </row>
    <row r="380" spans="10:12" s="1" customFormat="1" x14ac:dyDescent="0.25">
      <c r="J380" s="47">
        <v>39.4</v>
      </c>
      <c r="K380" s="897">
        <f t="shared" si="17"/>
        <v>3.0000000000000006E-2</v>
      </c>
      <c r="L380" s="898">
        <f t="shared" si="18"/>
        <v>2.0820000000000043</v>
      </c>
    </row>
    <row r="381" spans="10:12" s="1" customFormat="1" x14ac:dyDescent="0.25">
      <c r="J381" s="47">
        <v>39.5</v>
      </c>
      <c r="K381" s="897">
        <f t="shared" si="17"/>
        <v>3.0000000000000006E-2</v>
      </c>
      <c r="L381" s="898">
        <f t="shared" si="18"/>
        <v>2.0850000000000044</v>
      </c>
    </row>
    <row r="382" spans="10:12" s="1" customFormat="1" x14ac:dyDescent="0.25">
      <c r="J382" s="47">
        <v>39.6</v>
      </c>
      <c r="K382" s="897">
        <f t="shared" si="17"/>
        <v>3.0000000000000006E-2</v>
      </c>
      <c r="L382" s="898">
        <f t="shared" si="18"/>
        <v>2.0880000000000045</v>
      </c>
    </row>
    <row r="383" spans="10:12" s="1" customFormat="1" x14ac:dyDescent="0.25">
      <c r="J383" s="47">
        <v>39.700000000000003</v>
      </c>
      <c r="K383" s="897">
        <f t="shared" si="17"/>
        <v>3.0000000000000006E-2</v>
      </c>
      <c r="L383" s="898">
        <f t="shared" ref="L383:L414" si="19">L382+(K383)*(J383-J382)</f>
        <v>2.0910000000000046</v>
      </c>
    </row>
    <row r="384" spans="10:12" s="1" customFormat="1" x14ac:dyDescent="0.25">
      <c r="J384" s="47">
        <v>39.799999999999997</v>
      </c>
      <c r="K384" s="897">
        <f t="shared" si="17"/>
        <v>3.0000000000000006E-2</v>
      </c>
      <c r="L384" s="898">
        <f t="shared" si="19"/>
        <v>2.0940000000000043</v>
      </c>
    </row>
    <row r="385" spans="10:12" s="1" customFormat="1" x14ac:dyDescent="0.25">
      <c r="J385" s="47">
        <v>39.9</v>
      </c>
      <c r="K385" s="897">
        <f t="shared" si="17"/>
        <v>3.0000000000000006E-2</v>
      </c>
      <c r="L385" s="898">
        <f t="shared" si="19"/>
        <v>2.0970000000000044</v>
      </c>
    </row>
    <row r="386" spans="10:12" s="1" customFormat="1" x14ac:dyDescent="0.25">
      <c r="J386" s="47">
        <v>40</v>
      </c>
      <c r="K386" s="897">
        <f t="shared" si="17"/>
        <v>2.9999999999999982E-2</v>
      </c>
      <c r="L386" s="898">
        <f t="shared" si="19"/>
        <v>2.1000000000000045</v>
      </c>
    </row>
    <row r="387" spans="10:12" s="1" customFormat="1" x14ac:dyDescent="0.25">
      <c r="J387" s="47">
        <v>40.1</v>
      </c>
      <c r="K387" s="897">
        <f t="shared" si="17"/>
        <v>2.9999999999999982E-2</v>
      </c>
      <c r="L387" s="898">
        <f t="shared" si="19"/>
        <v>2.1030000000000046</v>
      </c>
    </row>
    <row r="388" spans="10:12" s="1" customFormat="1" x14ac:dyDescent="0.25">
      <c r="J388" s="47">
        <v>40.200000000000003</v>
      </c>
      <c r="K388" s="897">
        <f t="shared" si="17"/>
        <v>2.9999999999999982E-2</v>
      </c>
      <c r="L388" s="898">
        <f t="shared" si="19"/>
        <v>2.1060000000000048</v>
      </c>
    </row>
    <row r="389" spans="10:12" s="1" customFormat="1" x14ac:dyDescent="0.25">
      <c r="J389" s="47">
        <v>40.299999999999997</v>
      </c>
      <c r="K389" s="897">
        <f t="shared" si="17"/>
        <v>2.9999999999999982E-2</v>
      </c>
      <c r="L389" s="898">
        <f t="shared" si="19"/>
        <v>2.1090000000000044</v>
      </c>
    </row>
    <row r="390" spans="10:12" s="1" customFormat="1" x14ac:dyDescent="0.25">
      <c r="J390" s="47">
        <v>40.4</v>
      </c>
      <c r="K390" s="897">
        <f t="shared" ref="K390:K453" si="20">LOOKUP(J390,$C$6:$C$17,$H$6:$H$17)</f>
        <v>2.9999999999999982E-2</v>
      </c>
      <c r="L390" s="898">
        <f t="shared" si="19"/>
        <v>2.1120000000000045</v>
      </c>
    </row>
    <row r="391" spans="10:12" s="1" customFormat="1" x14ac:dyDescent="0.25">
      <c r="J391" s="47">
        <v>40.5</v>
      </c>
      <c r="K391" s="897">
        <f t="shared" si="20"/>
        <v>2.9999999999999982E-2</v>
      </c>
      <c r="L391" s="898">
        <f t="shared" si="19"/>
        <v>2.1150000000000047</v>
      </c>
    </row>
    <row r="392" spans="10:12" s="1" customFormat="1" x14ac:dyDescent="0.25">
      <c r="J392" s="47">
        <v>40.6</v>
      </c>
      <c r="K392" s="897">
        <f t="shared" si="20"/>
        <v>2.9999999999999982E-2</v>
      </c>
      <c r="L392" s="898">
        <f t="shared" si="19"/>
        <v>2.1180000000000048</v>
      </c>
    </row>
    <row r="393" spans="10:12" s="1" customFormat="1" x14ac:dyDescent="0.25">
      <c r="J393" s="47">
        <v>40.700000000000003</v>
      </c>
      <c r="K393" s="897">
        <f t="shared" si="20"/>
        <v>2.9999999999999982E-2</v>
      </c>
      <c r="L393" s="898">
        <f t="shared" si="19"/>
        <v>2.1210000000000049</v>
      </c>
    </row>
    <row r="394" spans="10:12" s="1" customFormat="1" x14ac:dyDescent="0.25">
      <c r="J394" s="47">
        <v>40.799999999999997</v>
      </c>
      <c r="K394" s="897">
        <f t="shared" si="20"/>
        <v>2.9999999999999982E-2</v>
      </c>
      <c r="L394" s="898">
        <f t="shared" si="19"/>
        <v>2.1240000000000046</v>
      </c>
    </row>
    <row r="395" spans="10:12" s="1" customFormat="1" x14ac:dyDescent="0.25">
      <c r="J395" s="47">
        <v>40.9</v>
      </c>
      <c r="K395" s="897">
        <f t="shared" si="20"/>
        <v>2.9999999999999982E-2</v>
      </c>
      <c r="L395" s="898">
        <f t="shared" si="19"/>
        <v>2.1270000000000047</v>
      </c>
    </row>
    <row r="396" spans="10:12" s="1" customFormat="1" x14ac:dyDescent="0.25">
      <c r="J396" s="47">
        <v>41</v>
      </c>
      <c r="K396" s="897">
        <f t="shared" si="20"/>
        <v>2.9999999999999982E-2</v>
      </c>
      <c r="L396" s="898">
        <f t="shared" si="19"/>
        <v>2.1300000000000048</v>
      </c>
    </row>
    <row r="397" spans="10:12" s="1" customFormat="1" x14ac:dyDescent="0.25">
      <c r="J397" s="47">
        <v>41.1</v>
      </c>
      <c r="K397" s="897">
        <f t="shared" si="20"/>
        <v>2.9999999999999982E-2</v>
      </c>
      <c r="L397" s="898">
        <f t="shared" si="19"/>
        <v>2.1330000000000049</v>
      </c>
    </row>
    <row r="398" spans="10:12" s="1" customFormat="1" x14ac:dyDescent="0.25">
      <c r="J398" s="47">
        <v>41.2</v>
      </c>
      <c r="K398" s="897">
        <f t="shared" si="20"/>
        <v>2.9999999999999982E-2</v>
      </c>
      <c r="L398" s="898">
        <f t="shared" si="19"/>
        <v>2.136000000000005</v>
      </c>
    </row>
    <row r="399" spans="10:12" s="1" customFormat="1" x14ac:dyDescent="0.25">
      <c r="J399" s="47">
        <v>41.3</v>
      </c>
      <c r="K399" s="897">
        <f t="shared" si="20"/>
        <v>2.9999999999999982E-2</v>
      </c>
      <c r="L399" s="898">
        <f t="shared" si="19"/>
        <v>2.1390000000000047</v>
      </c>
    </row>
    <row r="400" spans="10:12" s="1" customFormat="1" x14ac:dyDescent="0.25">
      <c r="J400" s="47">
        <v>41.4</v>
      </c>
      <c r="K400" s="897">
        <f t="shared" si="20"/>
        <v>2.9999999999999982E-2</v>
      </c>
      <c r="L400" s="898">
        <f t="shared" si="19"/>
        <v>2.1420000000000048</v>
      </c>
    </row>
    <row r="401" spans="10:12" s="1" customFormat="1" x14ac:dyDescent="0.25">
      <c r="J401" s="47">
        <v>41.5</v>
      </c>
      <c r="K401" s="897">
        <f t="shared" si="20"/>
        <v>2.9999999999999982E-2</v>
      </c>
      <c r="L401" s="898">
        <f t="shared" si="19"/>
        <v>2.1450000000000049</v>
      </c>
    </row>
    <row r="402" spans="10:12" s="1" customFormat="1" x14ac:dyDescent="0.25">
      <c r="J402" s="47">
        <v>41.6</v>
      </c>
      <c r="K402" s="897">
        <f t="shared" si="20"/>
        <v>2.9999999999999982E-2</v>
      </c>
      <c r="L402" s="898">
        <f t="shared" si="19"/>
        <v>2.148000000000005</v>
      </c>
    </row>
    <row r="403" spans="10:12" s="1" customFormat="1" x14ac:dyDescent="0.25">
      <c r="J403" s="47">
        <v>41.7</v>
      </c>
      <c r="K403" s="897">
        <f t="shared" si="20"/>
        <v>2.9999999999999982E-2</v>
      </c>
      <c r="L403" s="898">
        <f t="shared" si="19"/>
        <v>2.1510000000000051</v>
      </c>
    </row>
    <row r="404" spans="10:12" s="1" customFormat="1" x14ac:dyDescent="0.25">
      <c r="J404" s="47">
        <v>41.8</v>
      </c>
      <c r="K404" s="897">
        <f t="shared" si="20"/>
        <v>2.9999999999999982E-2</v>
      </c>
      <c r="L404" s="898">
        <f t="shared" si="19"/>
        <v>2.1540000000000048</v>
      </c>
    </row>
    <row r="405" spans="10:12" s="1" customFormat="1" x14ac:dyDescent="0.25">
      <c r="J405" s="47">
        <v>41.9</v>
      </c>
      <c r="K405" s="897">
        <f t="shared" si="20"/>
        <v>2.9999999999999982E-2</v>
      </c>
      <c r="L405" s="898">
        <f t="shared" si="19"/>
        <v>2.1570000000000049</v>
      </c>
    </row>
    <row r="406" spans="10:12" s="1" customFormat="1" x14ac:dyDescent="0.25">
      <c r="J406" s="47">
        <v>42</v>
      </c>
      <c r="K406" s="897">
        <f t="shared" si="20"/>
        <v>2.9999999999999982E-2</v>
      </c>
      <c r="L406" s="898">
        <f t="shared" si="19"/>
        <v>2.160000000000005</v>
      </c>
    </row>
    <row r="407" spans="10:12" s="1" customFormat="1" x14ac:dyDescent="0.25">
      <c r="J407" s="47">
        <v>42.1</v>
      </c>
      <c r="K407" s="897">
        <f t="shared" si="20"/>
        <v>2.9999999999999982E-2</v>
      </c>
      <c r="L407" s="898">
        <f t="shared" si="19"/>
        <v>2.1630000000000051</v>
      </c>
    </row>
    <row r="408" spans="10:12" s="1" customFormat="1" x14ac:dyDescent="0.25">
      <c r="J408" s="47">
        <v>42.2</v>
      </c>
      <c r="K408" s="897">
        <f t="shared" si="20"/>
        <v>2.9999999999999982E-2</v>
      </c>
      <c r="L408" s="898">
        <f t="shared" si="19"/>
        <v>2.1660000000000053</v>
      </c>
    </row>
    <row r="409" spans="10:12" s="1" customFormat="1" x14ac:dyDescent="0.25">
      <c r="J409" s="47">
        <v>42.3</v>
      </c>
      <c r="K409" s="897">
        <f t="shared" si="20"/>
        <v>2.9999999999999982E-2</v>
      </c>
      <c r="L409" s="898">
        <f t="shared" si="19"/>
        <v>2.1690000000000049</v>
      </c>
    </row>
    <row r="410" spans="10:12" s="1" customFormat="1" x14ac:dyDescent="0.25">
      <c r="J410" s="47">
        <v>42.4</v>
      </c>
      <c r="K410" s="897">
        <f t="shared" si="20"/>
        <v>2.9999999999999982E-2</v>
      </c>
      <c r="L410" s="898">
        <f t="shared" si="19"/>
        <v>2.172000000000005</v>
      </c>
    </row>
    <row r="411" spans="10:12" s="1" customFormat="1" x14ac:dyDescent="0.25">
      <c r="J411" s="47">
        <v>42.5</v>
      </c>
      <c r="K411" s="897">
        <f t="shared" si="20"/>
        <v>2.9999999999999982E-2</v>
      </c>
      <c r="L411" s="898">
        <f t="shared" si="19"/>
        <v>2.1750000000000052</v>
      </c>
    </row>
    <row r="412" spans="10:12" s="1" customFormat="1" x14ac:dyDescent="0.25">
      <c r="J412" s="47">
        <v>42.6</v>
      </c>
      <c r="K412" s="897">
        <f t="shared" si="20"/>
        <v>2.9999999999999982E-2</v>
      </c>
      <c r="L412" s="898">
        <f t="shared" si="19"/>
        <v>2.1780000000000053</v>
      </c>
    </row>
    <row r="413" spans="10:12" s="1" customFormat="1" x14ac:dyDescent="0.25">
      <c r="J413" s="47">
        <v>42.7</v>
      </c>
      <c r="K413" s="897">
        <f t="shared" si="20"/>
        <v>2.9999999999999982E-2</v>
      </c>
      <c r="L413" s="898">
        <f t="shared" si="19"/>
        <v>2.1810000000000054</v>
      </c>
    </row>
    <row r="414" spans="10:12" s="1" customFormat="1" x14ac:dyDescent="0.25">
      <c r="J414" s="47">
        <v>42.8</v>
      </c>
      <c r="K414" s="897">
        <f t="shared" si="20"/>
        <v>2.9999999999999982E-2</v>
      </c>
      <c r="L414" s="898">
        <f t="shared" si="19"/>
        <v>2.184000000000005</v>
      </c>
    </row>
    <row r="415" spans="10:12" s="1" customFormat="1" x14ac:dyDescent="0.25">
      <c r="J415" s="47">
        <v>42.9</v>
      </c>
      <c r="K415" s="897">
        <f t="shared" si="20"/>
        <v>2.9999999999999982E-2</v>
      </c>
      <c r="L415" s="898">
        <f t="shared" ref="L415:L446" si="21">L414+(K415)*(J415-J414)</f>
        <v>2.1870000000000052</v>
      </c>
    </row>
    <row r="416" spans="10:12" s="1" customFormat="1" x14ac:dyDescent="0.25">
      <c r="J416" s="47">
        <v>43</v>
      </c>
      <c r="K416" s="897">
        <f t="shared" si="20"/>
        <v>2.9999999999999982E-2</v>
      </c>
      <c r="L416" s="898">
        <f t="shared" si="21"/>
        <v>2.1900000000000053</v>
      </c>
    </row>
    <row r="417" spans="10:12" s="1" customFormat="1" x14ac:dyDescent="0.25">
      <c r="J417" s="47">
        <v>43.1</v>
      </c>
      <c r="K417" s="897">
        <f t="shared" si="20"/>
        <v>2.9999999999999982E-2</v>
      </c>
      <c r="L417" s="898">
        <f t="shared" si="21"/>
        <v>2.1930000000000054</v>
      </c>
    </row>
    <row r="418" spans="10:12" s="1" customFormat="1" x14ac:dyDescent="0.25">
      <c r="J418" s="47">
        <v>43.2</v>
      </c>
      <c r="K418" s="897">
        <f t="shared" si="20"/>
        <v>2.9999999999999982E-2</v>
      </c>
      <c r="L418" s="898">
        <f t="shared" si="21"/>
        <v>2.1960000000000055</v>
      </c>
    </row>
    <row r="419" spans="10:12" s="1" customFormat="1" x14ac:dyDescent="0.25">
      <c r="J419" s="47">
        <v>43.3</v>
      </c>
      <c r="K419" s="897">
        <f t="shared" si="20"/>
        <v>2.9999999999999982E-2</v>
      </c>
      <c r="L419" s="898">
        <f t="shared" si="21"/>
        <v>2.1990000000000052</v>
      </c>
    </row>
    <row r="420" spans="10:12" s="1" customFormat="1" x14ac:dyDescent="0.25">
      <c r="J420" s="47">
        <v>43.4</v>
      </c>
      <c r="K420" s="897">
        <f t="shared" si="20"/>
        <v>2.9999999999999982E-2</v>
      </c>
      <c r="L420" s="898">
        <f t="shared" si="21"/>
        <v>2.2020000000000053</v>
      </c>
    </row>
    <row r="421" spans="10:12" s="1" customFormat="1" x14ac:dyDescent="0.25">
      <c r="J421" s="47">
        <v>43.5</v>
      </c>
      <c r="K421" s="897">
        <f t="shared" si="20"/>
        <v>2.9999999999999982E-2</v>
      </c>
      <c r="L421" s="898">
        <f t="shared" si="21"/>
        <v>2.2050000000000054</v>
      </c>
    </row>
    <row r="422" spans="10:12" s="1" customFormat="1" x14ac:dyDescent="0.25">
      <c r="J422" s="47">
        <v>43.6</v>
      </c>
      <c r="K422" s="897">
        <f t="shared" si="20"/>
        <v>2.9999999999999982E-2</v>
      </c>
      <c r="L422" s="898">
        <f t="shared" si="21"/>
        <v>2.2080000000000055</v>
      </c>
    </row>
    <row r="423" spans="10:12" s="1" customFormat="1" x14ac:dyDescent="0.25">
      <c r="J423" s="47">
        <v>43.7</v>
      </c>
      <c r="K423" s="897">
        <f t="shared" si="20"/>
        <v>2.9999999999999982E-2</v>
      </c>
      <c r="L423" s="898">
        <f t="shared" si="21"/>
        <v>2.2110000000000056</v>
      </c>
    </row>
    <row r="424" spans="10:12" s="1" customFormat="1" x14ac:dyDescent="0.25">
      <c r="J424" s="47">
        <v>43.8</v>
      </c>
      <c r="K424" s="897">
        <f t="shared" si="20"/>
        <v>2.9999999999999982E-2</v>
      </c>
      <c r="L424" s="898">
        <f t="shared" si="21"/>
        <v>2.2140000000000053</v>
      </c>
    </row>
    <row r="425" spans="10:12" s="1" customFormat="1" x14ac:dyDescent="0.25">
      <c r="J425" s="47">
        <v>43.9</v>
      </c>
      <c r="K425" s="897">
        <f t="shared" si="20"/>
        <v>2.9999999999999982E-2</v>
      </c>
      <c r="L425" s="898">
        <f t="shared" si="21"/>
        <v>2.2170000000000054</v>
      </c>
    </row>
    <row r="426" spans="10:12" s="1" customFormat="1" x14ac:dyDescent="0.25">
      <c r="J426" s="47">
        <v>44</v>
      </c>
      <c r="K426" s="897">
        <f t="shared" si="20"/>
        <v>2.9999999999999982E-2</v>
      </c>
      <c r="L426" s="898">
        <f t="shared" si="21"/>
        <v>2.2200000000000055</v>
      </c>
    </row>
    <row r="427" spans="10:12" s="1" customFormat="1" x14ac:dyDescent="0.25">
      <c r="J427" s="47">
        <v>44.1</v>
      </c>
      <c r="K427" s="897">
        <f t="shared" si="20"/>
        <v>2.9999999999999982E-2</v>
      </c>
      <c r="L427" s="898">
        <f t="shared" si="21"/>
        <v>2.2230000000000056</v>
      </c>
    </row>
    <row r="428" spans="10:12" s="1" customFormat="1" x14ac:dyDescent="0.25">
      <c r="J428" s="47">
        <v>44.2</v>
      </c>
      <c r="K428" s="897">
        <f t="shared" si="20"/>
        <v>2.9999999999999982E-2</v>
      </c>
      <c r="L428" s="898">
        <f t="shared" si="21"/>
        <v>2.2260000000000058</v>
      </c>
    </row>
    <row r="429" spans="10:12" s="1" customFormat="1" x14ac:dyDescent="0.25">
      <c r="J429" s="47">
        <v>44.3</v>
      </c>
      <c r="K429" s="897">
        <f t="shared" si="20"/>
        <v>2.9999999999999982E-2</v>
      </c>
      <c r="L429" s="898">
        <f t="shared" si="21"/>
        <v>2.2290000000000054</v>
      </c>
    </row>
    <row r="430" spans="10:12" s="1" customFormat="1" x14ac:dyDescent="0.25">
      <c r="J430" s="47">
        <v>44.4</v>
      </c>
      <c r="K430" s="897">
        <f t="shared" si="20"/>
        <v>2.9999999999999982E-2</v>
      </c>
      <c r="L430" s="898">
        <f t="shared" si="21"/>
        <v>2.2320000000000055</v>
      </c>
    </row>
    <row r="431" spans="10:12" s="1" customFormat="1" x14ac:dyDescent="0.25">
      <c r="J431" s="47">
        <v>44.5</v>
      </c>
      <c r="K431" s="897">
        <f t="shared" si="20"/>
        <v>2.9999999999999982E-2</v>
      </c>
      <c r="L431" s="898">
        <f t="shared" si="21"/>
        <v>2.2350000000000056</v>
      </c>
    </row>
    <row r="432" spans="10:12" s="1" customFormat="1" x14ac:dyDescent="0.25">
      <c r="J432" s="47">
        <v>44.6</v>
      </c>
      <c r="K432" s="897">
        <f t="shared" si="20"/>
        <v>2.9999999999999982E-2</v>
      </c>
      <c r="L432" s="898">
        <f t="shared" si="21"/>
        <v>2.2380000000000058</v>
      </c>
    </row>
    <row r="433" spans="10:12" s="1" customFormat="1" x14ac:dyDescent="0.25">
      <c r="J433" s="47">
        <v>44.7</v>
      </c>
      <c r="K433" s="897">
        <f t="shared" si="20"/>
        <v>2.9999999999999982E-2</v>
      </c>
      <c r="L433" s="898">
        <f t="shared" si="21"/>
        <v>2.2410000000000059</v>
      </c>
    </row>
    <row r="434" spans="10:12" s="1" customFormat="1" x14ac:dyDescent="0.25">
      <c r="J434" s="47">
        <v>44.8</v>
      </c>
      <c r="K434" s="897">
        <f t="shared" si="20"/>
        <v>2.9999999999999982E-2</v>
      </c>
      <c r="L434" s="898">
        <f t="shared" si="21"/>
        <v>2.2440000000000055</v>
      </c>
    </row>
    <row r="435" spans="10:12" s="1" customFormat="1" x14ac:dyDescent="0.25">
      <c r="J435" s="47">
        <v>44.9</v>
      </c>
      <c r="K435" s="897">
        <f t="shared" si="20"/>
        <v>2.9999999999999982E-2</v>
      </c>
      <c r="L435" s="898">
        <f t="shared" si="21"/>
        <v>2.2470000000000057</v>
      </c>
    </row>
    <row r="436" spans="10:12" s="1" customFormat="1" x14ac:dyDescent="0.25">
      <c r="J436" s="47">
        <v>45</v>
      </c>
      <c r="K436" s="897">
        <f t="shared" si="20"/>
        <v>2.9999999999999982E-2</v>
      </c>
      <c r="L436" s="898">
        <f t="shared" si="21"/>
        <v>2.2500000000000058</v>
      </c>
    </row>
    <row r="437" spans="10:12" s="1" customFormat="1" x14ac:dyDescent="0.25">
      <c r="J437" s="47">
        <v>45.1</v>
      </c>
      <c r="K437" s="897">
        <f t="shared" si="20"/>
        <v>2.9999999999999982E-2</v>
      </c>
      <c r="L437" s="898">
        <f t="shared" si="21"/>
        <v>2.2530000000000059</v>
      </c>
    </row>
    <row r="438" spans="10:12" s="1" customFormat="1" x14ac:dyDescent="0.25">
      <c r="J438" s="47">
        <v>45.2</v>
      </c>
      <c r="K438" s="897">
        <f t="shared" si="20"/>
        <v>2.9999999999999982E-2</v>
      </c>
      <c r="L438" s="898">
        <f t="shared" si="21"/>
        <v>2.256000000000006</v>
      </c>
    </row>
    <row r="439" spans="10:12" s="1" customFormat="1" x14ac:dyDescent="0.25">
      <c r="J439" s="47">
        <v>45.3</v>
      </c>
      <c r="K439" s="897">
        <f t="shared" si="20"/>
        <v>2.9999999999999982E-2</v>
      </c>
      <c r="L439" s="898">
        <f t="shared" si="21"/>
        <v>2.2590000000000057</v>
      </c>
    </row>
    <row r="440" spans="10:12" s="1" customFormat="1" x14ac:dyDescent="0.25">
      <c r="J440" s="47">
        <v>45.4</v>
      </c>
      <c r="K440" s="897">
        <f t="shared" si="20"/>
        <v>2.9999999999999982E-2</v>
      </c>
      <c r="L440" s="898">
        <f t="shared" si="21"/>
        <v>2.2620000000000058</v>
      </c>
    </row>
    <row r="441" spans="10:12" s="1" customFormat="1" x14ac:dyDescent="0.25">
      <c r="J441" s="47">
        <v>45.5</v>
      </c>
      <c r="K441" s="897">
        <f t="shared" si="20"/>
        <v>2.9999999999999982E-2</v>
      </c>
      <c r="L441" s="898">
        <f t="shared" si="21"/>
        <v>2.2650000000000059</v>
      </c>
    </row>
    <row r="442" spans="10:12" s="1" customFormat="1" x14ac:dyDescent="0.25">
      <c r="J442" s="47">
        <v>45.6</v>
      </c>
      <c r="K442" s="897">
        <f t="shared" si="20"/>
        <v>2.9999999999999982E-2</v>
      </c>
      <c r="L442" s="898">
        <f t="shared" si="21"/>
        <v>2.268000000000006</v>
      </c>
    </row>
    <row r="443" spans="10:12" s="1" customFormat="1" x14ac:dyDescent="0.25">
      <c r="J443" s="47">
        <v>45.7</v>
      </c>
      <c r="K443" s="897">
        <f t="shared" si="20"/>
        <v>2.9999999999999982E-2</v>
      </c>
      <c r="L443" s="898">
        <f t="shared" si="21"/>
        <v>2.2710000000000061</v>
      </c>
    </row>
    <row r="444" spans="10:12" s="1" customFormat="1" x14ac:dyDescent="0.25">
      <c r="J444" s="47">
        <v>45.8</v>
      </c>
      <c r="K444" s="897">
        <f t="shared" si="20"/>
        <v>2.9999999999999982E-2</v>
      </c>
      <c r="L444" s="898">
        <f t="shared" si="21"/>
        <v>2.2740000000000058</v>
      </c>
    </row>
    <row r="445" spans="10:12" s="1" customFormat="1" x14ac:dyDescent="0.25">
      <c r="J445" s="47">
        <v>45.9</v>
      </c>
      <c r="K445" s="897">
        <f t="shared" si="20"/>
        <v>2.9999999999999982E-2</v>
      </c>
      <c r="L445" s="898">
        <f t="shared" si="21"/>
        <v>2.2770000000000059</v>
      </c>
    </row>
    <row r="446" spans="10:12" s="1" customFormat="1" x14ac:dyDescent="0.25">
      <c r="J446" s="47">
        <v>46</v>
      </c>
      <c r="K446" s="897">
        <f t="shared" si="20"/>
        <v>2.9999999999999982E-2</v>
      </c>
      <c r="L446" s="898">
        <f t="shared" si="21"/>
        <v>2.280000000000006</v>
      </c>
    </row>
    <row r="447" spans="10:12" s="1" customFormat="1" x14ac:dyDescent="0.25">
      <c r="J447" s="47">
        <v>46.1</v>
      </c>
      <c r="K447" s="897">
        <f t="shared" si="20"/>
        <v>2.9999999999999982E-2</v>
      </c>
      <c r="L447" s="898">
        <f t="shared" ref="L447:L478" si="22">L446+(K447)*(J447-J446)</f>
        <v>2.2830000000000061</v>
      </c>
    </row>
    <row r="448" spans="10:12" s="1" customFormat="1" x14ac:dyDescent="0.25">
      <c r="J448" s="47">
        <v>46.2</v>
      </c>
      <c r="K448" s="897">
        <f t="shared" si="20"/>
        <v>2.9999999999999982E-2</v>
      </c>
      <c r="L448" s="898">
        <f t="shared" si="22"/>
        <v>2.2860000000000062</v>
      </c>
    </row>
    <row r="449" spans="10:12" s="1" customFormat="1" x14ac:dyDescent="0.25">
      <c r="J449" s="47">
        <v>46.3</v>
      </c>
      <c r="K449" s="897">
        <f t="shared" si="20"/>
        <v>2.9999999999999982E-2</v>
      </c>
      <c r="L449" s="898">
        <f t="shared" si="22"/>
        <v>2.2890000000000059</v>
      </c>
    </row>
    <row r="450" spans="10:12" s="1" customFormat="1" x14ac:dyDescent="0.25">
      <c r="J450" s="47">
        <v>46.4</v>
      </c>
      <c r="K450" s="897">
        <f t="shared" si="20"/>
        <v>2.9999999999999982E-2</v>
      </c>
      <c r="L450" s="898">
        <f t="shared" si="22"/>
        <v>2.292000000000006</v>
      </c>
    </row>
    <row r="451" spans="10:12" s="1" customFormat="1" x14ac:dyDescent="0.25">
      <c r="J451" s="47">
        <v>46.5</v>
      </c>
      <c r="K451" s="897">
        <f t="shared" si="20"/>
        <v>2.9999999999999982E-2</v>
      </c>
      <c r="L451" s="898">
        <f t="shared" si="22"/>
        <v>2.2950000000000061</v>
      </c>
    </row>
    <row r="452" spans="10:12" s="1" customFormat="1" x14ac:dyDescent="0.25">
      <c r="J452" s="47">
        <v>46.6</v>
      </c>
      <c r="K452" s="897">
        <f t="shared" si="20"/>
        <v>2.9999999999999982E-2</v>
      </c>
      <c r="L452" s="898">
        <f t="shared" si="22"/>
        <v>2.2980000000000063</v>
      </c>
    </row>
    <row r="453" spans="10:12" s="1" customFormat="1" x14ac:dyDescent="0.25">
      <c r="J453" s="47">
        <v>46.7</v>
      </c>
      <c r="K453" s="897">
        <f t="shared" si="20"/>
        <v>2.9999999999999982E-2</v>
      </c>
      <c r="L453" s="898">
        <f t="shared" si="22"/>
        <v>2.3010000000000064</v>
      </c>
    </row>
    <row r="454" spans="10:12" s="1" customFormat="1" x14ac:dyDescent="0.25">
      <c r="J454" s="47">
        <v>46.8</v>
      </c>
      <c r="K454" s="897">
        <f t="shared" ref="K454:K517" si="23">LOOKUP(J454,$C$6:$C$17,$H$6:$H$17)</f>
        <v>2.9999999999999982E-2</v>
      </c>
      <c r="L454" s="898">
        <f t="shared" si="22"/>
        <v>2.304000000000006</v>
      </c>
    </row>
    <row r="455" spans="10:12" s="1" customFormat="1" x14ac:dyDescent="0.25">
      <c r="J455" s="47">
        <v>46.9</v>
      </c>
      <c r="K455" s="897">
        <f t="shared" si="23"/>
        <v>2.9999999999999982E-2</v>
      </c>
      <c r="L455" s="898">
        <f t="shared" si="22"/>
        <v>2.3070000000000062</v>
      </c>
    </row>
    <row r="456" spans="10:12" s="1" customFormat="1" x14ac:dyDescent="0.25">
      <c r="J456" s="47">
        <v>47</v>
      </c>
      <c r="K456" s="897">
        <f t="shared" si="23"/>
        <v>2.9999999999999982E-2</v>
      </c>
      <c r="L456" s="898">
        <f t="shared" si="22"/>
        <v>2.3100000000000063</v>
      </c>
    </row>
    <row r="457" spans="10:12" s="1" customFormat="1" x14ac:dyDescent="0.25">
      <c r="J457" s="47">
        <v>47.1</v>
      </c>
      <c r="K457" s="897">
        <f t="shared" si="23"/>
        <v>2.9999999999999982E-2</v>
      </c>
      <c r="L457" s="898">
        <f t="shared" si="22"/>
        <v>2.3130000000000064</v>
      </c>
    </row>
    <row r="458" spans="10:12" s="1" customFormat="1" x14ac:dyDescent="0.25">
      <c r="J458" s="47">
        <v>47.2</v>
      </c>
      <c r="K458" s="897">
        <f t="shared" si="23"/>
        <v>2.9999999999999982E-2</v>
      </c>
      <c r="L458" s="898">
        <f t="shared" si="22"/>
        <v>2.3160000000000065</v>
      </c>
    </row>
    <row r="459" spans="10:12" s="1" customFormat="1" x14ac:dyDescent="0.25">
      <c r="J459" s="47">
        <v>47.3</v>
      </c>
      <c r="K459" s="897">
        <f t="shared" si="23"/>
        <v>2.9999999999999982E-2</v>
      </c>
      <c r="L459" s="898">
        <f t="shared" si="22"/>
        <v>2.3190000000000062</v>
      </c>
    </row>
    <row r="460" spans="10:12" s="1" customFormat="1" x14ac:dyDescent="0.25">
      <c r="J460" s="47">
        <v>47.4</v>
      </c>
      <c r="K460" s="897">
        <f t="shared" si="23"/>
        <v>2.9999999999999982E-2</v>
      </c>
      <c r="L460" s="898">
        <f t="shared" si="22"/>
        <v>2.3220000000000063</v>
      </c>
    </row>
    <row r="461" spans="10:12" s="1" customFormat="1" x14ac:dyDescent="0.25">
      <c r="J461" s="47">
        <v>47.5</v>
      </c>
      <c r="K461" s="897">
        <f t="shared" si="23"/>
        <v>2.9999999999999982E-2</v>
      </c>
      <c r="L461" s="898">
        <f t="shared" si="22"/>
        <v>2.3250000000000064</v>
      </c>
    </row>
    <row r="462" spans="10:12" s="1" customFormat="1" x14ac:dyDescent="0.25">
      <c r="J462" s="47">
        <v>47.6</v>
      </c>
      <c r="K462" s="897">
        <f t="shared" si="23"/>
        <v>2.9999999999999982E-2</v>
      </c>
      <c r="L462" s="898">
        <f t="shared" si="22"/>
        <v>2.3280000000000065</v>
      </c>
    </row>
    <row r="463" spans="10:12" s="1" customFormat="1" x14ac:dyDescent="0.25">
      <c r="J463" s="47">
        <v>47.7</v>
      </c>
      <c r="K463" s="897">
        <f t="shared" si="23"/>
        <v>2.9999999999999982E-2</v>
      </c>
      <c r="L463" s="898">
        <f t="shared" si="22"/>
        <v>2.3310000000000066</v>
      </c>
    </row>
    <row r="464" spans="10:12" s="1" customFormat="1" x14ac:dyDescent="0.25">
      <c r="J464" s="47">
        <v>47.8</v>
      </c>
      <c r="K464" s="897">
        <f t="shared" si="23"/>
        <v>2.9999999999999982E-2</v>
      </c>
      <c r="L464" s="898">
        <f t="shared" si="22"/>
        <v>2.3340000000000063</v>
      </c>
    </row>
    <row r="465" spans="10:12" s="1" customFormat="1" x14ac:dyDescent="0.25">
      <c r="J465" s="47">
        <v>47.9</v>
      </c>
      <c r="K465" s="897">
        <f t="shared" si="23"/>
        <v>2.9999999999999982E-2</v>
      </c>
      <c r="L465" s="898">
        <f t="shared" si="22"/>
        <v>2.3370000000000064</v>
      </c>
    </row>
    <row r="466" spans="10:12" s="1" customFormat="1" x14ac:dyDescent="0.25">
      <c r="J466" s="47">
        <v>48</v>
      </c>
      <c r="K466" s="897">
        <f t="shared" si="23"/>
        <v>2.9999999999999982E-2</v>
      </c>
      <c r="L466" s="898">
        <f t="shared" si="22"/>
        <v>2.3400000000000065</v>
      </c>
    </row>
    <row r="467" spans="10:12" s="1" customFormat="1" x14ac:dyDescent="0.25">
      <c r="J467" s="47">
        <v>48.1</v>
      </c>
      <c r="K467" s="897">
        <f t="shared" si="23"/>
        <v>2.9999999999999982E-2</v>
      </c>
      <c r="L467" s="898">
        <f t="shared" si="22"/>
        <v>2.3430000000000066</v>
      </c>
    </row>
    <row r="468" spans="10:12" s="1" customFormat="1" x14ac:dyDescent="0.25">
      <c r="J468" s="47">
        <v>48.2</v>
      </c>
      <c r="K468" s="897">
        <f t="shared" si="23"/>
        <v>2.9999999999999982E-2</v>
      </c>
      <c r="L468" s="898">
        <f t="shared" si="22"/>
        <v>2.3460000000000067</v>
      </c>
    </row>
    <row r="469" spans="10:12" s="1" customFormat="1" x14ac:dyDescent="0.25">
      <c r="J469" s="47">
        <v>48.3</v>
      </c>
      <c r="K469" s="897">
        <f t="shared" si="23"/>
        <v>2.9999999999999982E-2</v>
      </c>
      <c r="L469" s="898">
        <f t="shared" si="22"/>
        <v>2.3490000000000064</v>
      </c>
    </row>
    <row r="470" spans="10:12" s="1" customFormat="1" x14ac:dyDescent="0.25">
      <c r="J470" s="47">
        <v>48.4</v>
      </c>
      <c r="K470" s="897">
        <f t="shared" si="23"/>
        <v>2.9999999999999982E-2</v>
      </c>
      <c r="L470" s="898">
        <f t="shared" si="22"/>
        <v>2.3520000000000065</v>
      </c>
    </row>
    <row r="471" spans="10:12" s="1" customFormat="1" x14ac:dyDescent="0.25">
      <c r="J471" s="47">
        <v>48.5</v>
      </c>
      <c r="K471" s="897">
        <f t="shared" si="23"/>
        <v>2.9999999999999982E-2</v>
      </c>
      <c r="L471" s="898">
        <f t="shared" si="22"/>
        <v>2.3550000000000066</v>
      </c>
    </row>
    <row r="472" spans="10:12" s="1" customFormat="1" x14ac:dyDescent="0.25">
      <c r="J472" s="47">
        <v>48.6</v>
      </c>
      <c r="K472" s="897">
        <f t="shared" si="23"/>
        <v>2.9999999999999982E-2</v>
      </c>
      <c r="L472" s="898">
        <f t="shared" si="22"/>
        <v>2.3580000000000068</v>
      </c>
    </row>
    <row r="473" spans="10:12" s="1" customFormat="1" x14ac:dyDescent="0.25">
      <c r="J473" s="47">
        <v>48.7</v>
      </c>
      <c r="K473" s="897">
        <f t="shared" si="23"/>
        <v>2.9999999999999982E-2</v>
      </c>
      <c r="L473" s="898">
        <f t="shared" si="22"/>
        <v>2.3610000000000069</v>
      </c>
    </row>
    <row r="474" spans="10:12" s="1" customFormat="1" x14ac:dyDescent="0.25">
      <c r="J474" s="47">
        <v>48.8</v>
      </c>
      <c r="K474" s="897">
        <f t="shared" si="23"/>
        <v>2.9999999999999982E-2</v>
      </c>
      <c r="L474" s="898">
        <f t="shared" si="22"/>
        <v>2.3640000000000065</v>
      </c>
    </row>
    <row r="475" spans="10:12" s="1" customFormat="1" x14ac:dyDescent="0.25">
      <c r="J475" s="47">
        <v>48.9</v>
      </c>
      <c r="K475" s="897">
        <f t="shared" si="23"/>
        <v>2.9999999999999982E-2</v>
      </c>
      <c r="L475" s="898">
        <f t="shared" si="22"/>
        <v>2.3670000000000067</v>
      </c>
    </row>
    <row r="476" spans="10:12" s="1" customFormat="1" x14ac:dyDescent="0.25">
      <c r="J476" s="47">
        <v>49</v>
      </c>
      <c r="K476" s="897">
        <f t="shared" si="23"/>
        <v>2.9999999999999982E-2</v>
      </c>
      <c r="L476" s="898">
        <f t="shared" si="22"/>
        <v>2.3700000000000068</v>
      </c>
    </row>
    <row r="477" spans="10:12" s="1" customFormat="1" x14ac:dyDescent="0.25">
      <c r="J477" s="47">
        <v>49.1</v>
      </c>
      <c r="K477" s="897">
        <f t="shared" si="23"/>
        <v>2.9999999999999982E-2</v>
      </c>
      <c r="L477" s="898">
        <f t="shared" si="22"/>
        <v>2.3730000000000069</v>
      </c>
    </row>
    <row r="478" spans="10:12" s="1" customFormat="1" x14ac:dyDescent="0.25">
      <c r="J478" s="47">
        <v>49.2</v>
      </c>
      <c r="K478" s="897">
        <f t="shared" si="23"/>
        <v>2.9999999999999982E-2</v>
      </c>
      <c r="L478" s="898">
        <f t="shared" si="22"/>
        <v>2.376000000000007</v>
      </c>
    </row>
    <row r="479" spans="10:12" s="1" customFormat="1" x14ac:dyDescent="0.25">
      <c r="J479" s="47">
        <v>49.3</v>
      </c>
      <c r="K479" s="897">
        <f t="shared" si="23"/>
        <v>2.9999999999999982E-2</v>
      </c>
      <c r="L479" s="898">
        <f t="shared" ref="L479:L485" si="24">L478+(K479)*(J479-J478)</f>
        <v>2.3790000000000067</v>
      </c>
    </row>
    <row r="480" spans="10:12" s="1" customFormat="1" x14ac:dyDescent="0.25">
      <c r="J480" s="47">
        <v>49.4</v>
      </c>
      <c r="K480" s="897">
        <f t="shared" si="23"/>
        <v>2.9999999999999982E-2</v>
      </c>
      <c r="L480" s="898">
        <f t="shared" si="24"/>
        <v>2.3820000000000068</v>
      </c>
    </row>
    <row r="481" spans="10:12" s="1" customFormat="1" x14ac:dyDescent="0.25">
      <c r="J481" s="47">
        <v>49.5</v>
      </c>
      <c r="K481" s="897">
        <f t="shared" si="23"/>
        <v>2.9999999999999982E-2</v>
      </c>
      <c r="L481" s="898">
        <f t="shared" si="24"/>
        <v>2.3850000000000069</v>
      </c>
    </row>
    <row r="482" spans="10:12" s="1" customFormat="1" x14ac:dyDescent="0.25">
      <c r="J482" s="47">
        <v>49.6</v>
      </c>
      <c r="K482" s="897">
        <f t="shared" si="23"/>
        <v>2.9999999999999982E-2</v>
      </c>
      <c r="L482" s="898">
        <f t="shared" si="24"/>
        <v>2.388000000000007</v>
      </c>
    </row>
    <row r="483" spans="10:12" s="1" customFormat="1" x14ac:dyDescent="0.25">
      <c r="J483" s="47">
        <v>49.7</v>
      </c>
      <c r="K483" s="897">
        <f t="shared" si="23"/>
        <v>2.9999999999999982E-2</v>
      </c>
      <c r="L483" s="898">
        <f t="shared" si="24"/>
        <v>2.3910000000000071</v>
      </c>
    </row>
    <row r="484" spans="10:12" s="1" customFormat="1" x14ac:dyDescent="0.25">
      <c r="J484" s="47">
        <v>49.8</v>
      </c>
      <c r="K484" s="897">
        <f t="shared" si="23"/>
        <v>2.9999999999999982E-2</v>
      </c>
      <c r="L484" s="898">
        <f t="shared" si="24"/>
        <v>2.3940000000000068</v>
      </c>
    </row>
    <row r="485" spans="10:12" s="1" customFormat="1" x14ac:dyDescent="0.25">
      <c r="J485" s="47">
        <v>49.9</v>
      </c>
      <c r="K485" s="897">
        <f t="shared" si="23"/>
        <v>2.9999999999999982E-2</v>
      </c>
      <c r="L485" s="898">
        <f t="shared" si="24"/>
        <v>2.3970000000000069</v>
      </c>
    </row>
    <row r="486" spans="10:12" s="1" customFormat="1" x14ac:dyDescent="0.25">
      <c r="J486" s="47">
        <v>50</v>
      </c>
      <c r="K486" s="897">
        <f t="shared" si="23"/>
        <v>3.0000000000000027E-2</v>
      </c>
      <c r="L486" s="898">
        <v>2.4</v>
      </c>
    </row>
    <row r="487" spans="10:12" s="1" customFormat="1" x14ac:dyDescent="0.25">
      <c r="J487" s="47">
        <v>50.1</v>
      </c>
      <c r="K487" s="897">
        <f t="shared" si="23"/>
        <v>3.0000000000000027E-2</v>
      </c>
      <c r="L487" s="898">
        <f t="shared" ref="L487:L518" si="25">L486+(K487)*(J487-J486)</f>
        <v>2.403</v>
      </c>
    </row>
    <row r="488" spans="10:12" s="1" customFormat="1" x14ac:dyDescent="0.25">
      <c r="J488" s="47">
        <v>50.2</v>
      </c>
      <c r="K488" s="897">
        <f t="shared" si="23"/>
        <v>3.0000000000000027E-2</v>
      </c>
      <c r="L488" s="898">
        <f t="shared" si="25"/>
        <v>2.4060000000000001</v>
      </c>
    </row>
    <row r="489" spans="10:12" s="1" customFormat="1" x14ac:dyDescent="0.25">
      <c r="J489" s="47">
        <v>50.3</v>
      </c>
      <c r="K489" s="897">
        <f t="shared" si="23"/>
        <v>3.0000000000000027E-2</v>
      </c>
      <c r="L489" s="898">
        <f t="shared" si="25"/>
        <v>2.4089999999999998</v>
      </c>
    </row>
    <row r="490" spans="10:12" s="1" customFormat="1" x14ac:dyDescent="0.25">
      <c r="J490" s="47">
        <v>50.4</v>
      </c>
      <c r="K490" s="897">
        <f t="shared" si="23"/>
        <v>3.0000000000000027E-2</v>
      </c>
      <c r="L490" s="898">
        <f t="shared" si="25"/>
        <v>2.4119999999999999</v>
      </c>
    </row>
    <row r="491" spans="10:12" s="1" customFormat="1" x14ac:dyDescent="0.25">
      <c r="J491" s="47">
        <v>50.5</v>
      </c>
      <c r="K491" s="897">
        <f t="shared" si="23"/>
        <v>3.0000000000000027E-2</v>
      </c>
      <c r="L491" s="898">
        <f t="shared" si="25"/>
        <v>2.415</v>
      </c>
    </row>
    <row r="492" spans="10:12" s="1" customFormat="1" x14ac:dyDescent="0.25">
      <c r="J492" s="47">
        <v>50.6</v>
      </c>
      <c r="K492" s="897">
        <f t="shared" si="23"/>
        <v>3.0000000000000027E-2</v>
      </c>
      <c r="L492" s="898">
        <f t="shared" si="25"/>
        <v>2.4180000000000001</v>
      </c>
    </row>
    <row r="493" spans="10:12" s="1" customFormat="1" x14ac:dyDescent="0.25">
      <c r="J493" s="47">
        <v>50.7</v>
      </c>
      <c r="K493" s="897">
        <f t="shared" si="23"/>
        <v>3.0000000000000027E-2</v>
      </c>
      <c r="L493" s="898">
        <f t="shared" si="25"/>
        <v>2.4210000000000003</v>
      </c>
    </row>
    <row r="494" spans="10:12" s="1" customFormat="1" x14ac:dyDescent="0.25">
      <c r="J494" s="47">
        <v>50.8</v>
      </c>
      <c r="K494" s="897">
        <f t="shared" si="23"/>
        <v>3.0000000000000027E-2</v>
      </c>
      <c r="L494" s="898">
        <f t="shared" si="25"/>
        <v>2.4239999999999999</v>
      </c>
    </row>
    <row r="495" spans="10:12" s="1" customFormat="1" x14ac:dyDescent="0.25">
      <c r="J495" s="47">
        <v>50.9</v>
      </c>
      <c r="K495" s="897">
        <f t="shared" si="23"/>
        <v>3.0000000000000027E-2</v>
      </c>
      <c r="L495" s="898">
        <f t="shared" si="25"/>
        <v>2.427</v>
      </c>
    </row>
    <row r="496" spans="10:12" s="1" customFormat="1" x14ac:dyDescent="0.25">
      <c r="J496" s="47">
        <v>51</v>
      </c>
      <c r="K496" s="897">
        <f t="shared" si="23"/>
        <v>3.0000000000000027E-2</v>
      </c>
      <c r="L496" s="898">
        <f t="shared" si="25"/>
        <v>2.4300000000000002</v>
      </c>
    </row>
    <row r="497" spans="10:12" s="1" customFormat="1" x14ac:dyDescent="0.25">
      <c r="J497" s="47">
        <v>51.1</v>
      </c>
      <c r="K497" s="897">
        <f t="shared" si="23"/>
        <v>3.0000000000000027E-2</v>
      </c>
      <c r="L497" s="898">
        <f t="shared" si="25"/>
        <v>2.4330000000000003</v>
      </c>
    </row>
    <row r="498" spans="10:12" s="1" customFormat="1" x14ac:dyDescent="0.25">
      <c r="J498" s="47">
        <v>51.2</v>
      </c>
      <c r="K498" s="897">
        <f t="shared" si="23"/>
        <v>3.0000000000000027E-2</v>
      </c>
      <c r="L498" s="898">
        <f t="shared" si="25"/>
        <v>2.4360000000000004</v>
      </c>
    </row>
    <row r="499" spans="10:12" s="1" customFormat="1" x14ac:dyDescent="0.25">
      <c r="J499" s="47">
        <v>51.3</v>
      </c>
      <c r="K499" s="897">
        <f t="shared" si="23"/>
        <v>3.0000000000000027E-2</v>
      </c>
      <c r="L499" s="898">
        <f t="shared" si="25"/>
        <v>2.4390000000000001</v>
      </c>
    </row>
    <row r="500" spans="10:12" s="1" customFormat="1" x14ac:dyDescent="0.25">
      <c r="J500" s="47">
        <v>51.4</v>
      </c>
      <c r="K500" s="897">
        <f t="shared" si="23"/>
        <v>3.0000000000000027E-2</v>
      </c>
      <c r="L500" s="898">
        <f t="shared" si="25"/>
        <v>2.4420000000000002</v>
      </c>
    </row>
    <row r="501" spans="10:12" s="1" customFormat="1" x14ac:dyDescent="0.25">
      <c r="J501" s="47">
        <v>51.5</v>
      </c>
      <c r="K501" s="897">
        <f t="shared" si="23"/>
        <v>3.0000000000000027E-2</v>
      </c>
      <c r="L501" s="898">
        <f t="shared" si="25"/>
        <v>2.4450000000000003</v>
      </c>
    </row>
    <row r="502" spans="10:12" s="1" customFormat="1" x14ac:dyDescent="0.25">
      <c r="J502" s="47">
        <v>51.6</v>
      </c>
      <c r="K502" s="897">
        <f t="shared" si="23"/>
        <v>3.0000000000000027E-2</v>
      </c>
      <c r="L502" s="898">
        <f t="shared" si="25"/>
        <v>2.4480000000000004</v>
      </c>
    </row>
    <row r="503" spans="10:12" s="1" customFormat="1" x14ac:dyDescent="0.25">
      <c r="J503" s="47">
        <v>51.7</v>
      </c>
      <c r="K503" s="897">
        <f t="shared" si="23"/>
        <v>3.0000000000000027E-2</v>
      </c>
      <c r="L503" s="898">
        <f t="shared" si="25"/>
        <v>2.4510000000000005</v>
      </c>
    </row>
    <row r="504" spans="10:12" s="1" customFormat="1" x14ac:dyDescent="0.25">
      <c r="J504" s="47">
        <v>51.8</v>
      </c>
      <c r="K504" s="897">
        <f t="shared" si="23"/>
        <v>3.0000000000000027E-2</v>
      </c>
      <c r="L504" s="898">
        <f t="shared" si="25"/>
        <v>2.4540000000000002</v>
      </c>
    </row>
    <row r="505" spans="10:12" s="1" customFormat="1" x14ac:dyDescent="0.25">
      <c r="J505" s="47">
        <v>51.9</v>
      </c>
      <c r="K505" s="897">
        <f t="shared" si="23"/>
        <v>3.0000000000000027E-2</v>
      </c>
      <c r="L505" s="898">
        <f t="shared" si="25"/>
        <v>2.4570000000000003</v>
      </c>
    </row>
    <row r="506" spans="10:12" s="1" customFormat="1" x14ac:dyDescent="0.25">
      <c r="J506" s="47">
        <v>52</v>
      </c>
      <c r="K506" s="897">
        <f t="shared" si="23"/>
        <v>3.0000000000000027E-2</v>
      </c>
      <c r="L506" s="898">
        <f t="shared" si="25"/>
        <v>2.4600000000000004</v>
      </c>
    </row>
    <row r="507" spans="10:12" s="1" customFormat="1" x14ac:dyDescent="0.25">
      <c r="J507" s="47">
        <v>52.1</v>
      </c>
      <c r="K507" s="897">
        <f t="shared" si="23"/>
        <v>3.0000000000000027E-2</v>
      </c>
      <c r="L507" s="898">
        <f t="shared" si="25"/>
        <v>2.4630000000000005</v>
      </c>
    </row>
    <row r="508" spans="10:12" s="1" customFormat="1" x14ac:dyDescent="0.25">
      <c r="J508" s="47">
        <v>52.2</v>
      </c>
      <c r="K508" s="897">
        <f t="shared" si="23"/>
        <v>3.0000000000000027E-2</v>
      </c>
      <c r="L508" s="898">
        <f t="shared" si="25"/>
        <v>2.4660000000000006</v>
      </c>
    </row>
    <row r="509" spans="10:12" s="1" customFormat="1" x14ac:dyDescent="0.25">
      <c r="J509" s="47">
        <v>52.3</v>
      </c>
      <c r="K509" s="897">
        <f t="shared" si="23"/>
        <v>3.0000000000000027E-2</v>
      </c>
      <c r="L509" s="898">
        <f t="shared" si="25"/>
        <v>2.4690000000000003</v>
      </c>
    </row>
    <row r="510" spans="10:12" s="1" customFormat="1" x14ac:dyDescent="0.25">
      <c r="J510" s="47">
        <v>52.4</v>
      </c>
      <c r="K510" s="897">
        <f t="shared" si="23"/>
        <v>3.0000000000000027E-2</v>
      </c>
      <c r="L510" s="898">
        <f t="shared" si="25"/>
        <v>2.4720000000000004</v>
      </c>
    </row>
    <row r="511" spans="10:12" s="1" customFormat="1" x14ac:dyDescent="0.25">
      <c r="J511" s="47">
        <v>52.5</v>
      </c>
      <c r="K511" s="897">
        <f t="shared" si="23"/>
        <v>3.0000000000000027E-2</v>
      </c>
      <c r="L511" s="898">
        <f t="shared" si="25"/>
        <v>2.4750000000000005</v>
      </c>
    </row>
    <row r="512" spans="10:12" s="1" customFormat="1" x14ac:dyDescent="0.25">
      <c r="J512" s="47">
        <v>52.6</v>
      </c>
      <c r="K512" s="897">
        <f t="shared" si="23"/>
        <v>3.0000000000000027E-2</v>
      </c>
      <c r="L512" s="898">
        <f t="shared" si="25"/>
        <v>2.4780000000000006</v>
      </c>
    </row>
    <row r="513" spans="10:12" s="1" customFormat="1" x14ac:dyDescent="0.25">
      <c r="J513" s="47">
        <v>52.7</v>
      </c>
      <c r="K513" s="897">
        <f t="shared" si="23"/>
        <v>3.0000000000000027E-2</v>
      </c>
      <c r="L513" s="898">
        <f t="shared" si="25"/>
        <v>2.4810000000000008</v>
      </c>
    </row>
    <row r="514" spans="10:12" s="1" customFormat="1" x14ac:dyDescent="0.25">
      <c r="J514" s="47">
        <v>52.8</v>
      </c>
      <c r="K514" s="897">
        <f t="shared" si="23"/>
        <v>3.0000000000000027E-2</v>
      </c>
      <c r="L514" s="898">
        <f t="shared" si="25"/>
        <v>2.4840000000000004</v>
      </c>
    </row>
    <row r="515" spans="10:12" s="1" customFormat="1" x14ac:dyDescent="0.25">
      <c r="J515" s="47">
        <v>52.9</v>
      </c>
      <c r="K515" s="897">
        <f t="shared" si="23"/>
        <v>3.0000000000000027E-2</v>
      </c>
      <c r="L515" s="898">
        <f t="shared" si="25"/>
        <v>2.4870000000000005</v>
      </c>
    </row>
    <row r="516" spans="10:12" s="1" customFormat="1" x14ac:dyDescent="0.25">
      <c r="J516" s="47">
        <v>53</v>
      </c>
      <c r="K516" s="897">
        <f t="shared" si="23"/>
        <v>3.0000000000000027E-2</v>
      </c>
      <c r="L516" s="898">
        <f t="shared" si="25"/>
        <v>2.4900000000000007</v>
      </c>
    </row>
    <row r="517" spans="10:12" s="1" customFormat="1" x14ac:dyDescent="0.25">
      <c r="J517" s="47">
        <v>53.1</v>
      </c>
      <c r="K517" s="897">
        <f t="shared" si="23"/>
        <v>3.0000000000000027E-2</v>
      </c>
      <c r="L517" s="898">
        <f t="shared" si="25"/>
        <v>2.4930000000000008</v>
      </c>
    </row>
    <row r="518" spans="10:12" s="1" customFormat="1" x14ac:dyDescent="0.25">
      <c r="J518" s="47">
        <v>53.2</v>
      </c>
      <c r="K518" s="897">
        <f t="shared" ref="K518:K581" si="26">LOOKUP(J518,$C$6:$C$17,$H$6:$H$17)</f>
        <v>3.0000000000000027E-2</v>
      </c>
      <c r="L518" s="898">
        <f t="shared" si="25"/>
        <v>2.4960000000000009</v>
      </c>
    </row>
    <row r="519" spans="10:12" s="1" customFormat="1" x14ac:dyDescent="0.25">
      <c r="J519" s="47">
        <v>53.3</v>
      </c>
      <c r="K519" s="897">
        <f t="shared" si="26"/>
        <v>3.0000000000000027E-2</v>
      </c>
      <c r="L519" s="898">
        <f t="shared" ref="L519:L550" si="27">L518+(K519)*(J519-J518)</f>
        <v>2.4990000000000006</v>
      </c>
    </row>
    <row r="520" spans="10:12" s="1" customFormat="1" x14ac:dyDescent="0.25">
      <c r="J520" s="47">
        <v>53.4</v>
      </c>
      <c r="K520" s="897">
        <f t="shared" si="26"/>
        <v>3.0000000000000027E-2</v>
      </c>
      <c r="L520" s="898">
        <f t="shared" si="27"/>
        <v>2.5020000000000007</v>
      </c>
    </row>
    <row r="521" spans="10:12" s="1" customFormat="1" x14ac:dyDescent="0.25">
      <c r="J521" s="47">
        <v>53.5</v>
      </c>
      <c r="K521" s="897">
        <f t="shared" si="26"/>
        <v>3.0000000000000027E-2</v>
      </c>
      <c r="L521" s="898">
        <f t="shared" si="27"/>
        <v>2.5050000000000008</v>
      </c>
    </row>
    <row r="522" spans="10:12" s="1" customFormat="1" x14ac:dyDescent="0.25">
      <c r="J522" s="47">
        <v>53.6</v>
      </c>
      <c r="K522" s="897">
        <f t="shared" si="26"/>
        <v>3.0000000000000027E-2</v>
      </c>
      <c r="L522" s="898">
        <f t="shared" si="27"/>
        <v>2.5080000000000009</v>
      </c>
    </row>
    <row r="523" spans="10:12" s="1" customFormat="1" x14ac:dyDescent="0.25">
      <c r="J523" s="47">
        <v>53.7</v>
      </c>
      <c r="K523" s="897">
        <f t="shared" si="26"/>
        <v>3.0000000000000027E-2</v>
      </c>
      <c r="L523" s="898">
        <f t="shared" si="27"/>
        <v>2.511000000000001</v>
      </c>
    </row>
    <row r="524" spans="10:12" s="1" customFormat="1" x14ac:dyDescent="0.25">
      <c r="J524" s="47">
        <v>53.8</v>
      </c>
      <c r="K524" s="897">
        <f t="shared" si="26"/>
        <v>3.0000000000000027E-2</v>
      </c>
      <c r="L524" s="898">
        <f t="shared" si="27"/>
        <v>2.5140000000000007</v>
      </c>
    </row>
    <row r="525" spans="10:12" s="1" customFormat="1" x14ac:dyDescent="0.25">
      <c r="J525" s="47">
        <v>53.9</v>
      </c>
      <c r="K525" s="897">
        <f t="shared" si="26"/>
        <v>3.0000000000000027E-2</v>
      </c>
      <c r="L525" s="898">
        <f t="shared" si="27"/>
        <v>2.5170000000000008</v>
      </c>
    </row>
    <row r="526" spans="10:12" s="1" customFormat="1" x14ac:dyDescent="0.25">
      <c r="J526" s="47">
        <v>54</v>
      </c>
      <c r="K526" s="897">
        <f t="shared" si="26"/>
        <v>3.0000000000000027E-2</v>
      </c>
      <c r="L526" s="898">
        <f t="shared" si="27"/>
        <v>2.5200000000000009</v>
      </c>
    </row>
    <row r="527" spans="10:12" s="1" customFormat="1" x14ac:dyDescent="0.25">
      <c r="J527" s="47">
        <v>54.1</v>
      </c>
      <c r="K527" s="897">
        <f t="shared" si="26"/>
        <v>3.0000000000000027E-2</v>
      </c>
      <c r="L527" s="898">
        <f t="shared" si="27"/>
        <v>2.523000000000001</v>
      </c>
    </row>
    <row r="528" spans="10:12" s="1" customFormat="1" x14ac:dyDescent="0.25">
      <c r="J528" s="47">
        <v>54.2</v>
      </c>
      <c r="K528" s="897">
        <f t="shared" si="26"/>
        <v>3.0000000000000027E-2</v>
      </c>
      <c r="L528" s="898">
        <f t="shared" si="27"/>
        <v>2.5260000000000011</v>
      </c>
    </row>
    <row r="529" spans="10:12" s="1" customFormat="1" x14ac:dyDescent="0.25">
      <c r="J529" s="47">
        <v>54.3</v>
      </c>
      <c r="K529" s="897">
        <f t="shared" si="26"/>
        <v>3.0000000000000027E-2</v>
      </c>
      <c r="L529" s="898">
        <f t="shared" si="27"/>
        <v>2.5290000000000008</v>
      </c>
    </row>
    <row r="530" spans="10:12" s="1" customFormat="1" x14ac:dyDescent="0.25">
      <c r="J530" s="47">
        <v>54.4</v>
      </c>
      <c r="K530" s="897">
        <f t="shared" si="26"/>
        <v>3.0000000000000027E-2</v>
      </c>
      <c r="L530" s="898">
        <f t="shared" si="27"/>
        <v>2.5320000000000009</v>
      </c>
    </row>
    <row r="531" spans="10:12" s="1" customFormat="1" x14ac:dyDescent="0.25">
      <c r="J531" s="47">
        <v>54.5</v>
      </c>
      <c r="K531" s="897">
        <f t="shared" si="26"/>
        <v>3.0000000000000027E-2</v>
      </c>
      <c r="L531" s="898">
        <f t="shared" si="27"/>
        <v>2.535000000000001</v>
      </c>
    </row>
    <row r="532" spans="10:12" s="1" customFormat="1" x14ac:dyDescent="0.25">
      <c r="J532" s="47">
        <v>54.6</v>
      </c>
      <c r="K532" s="897">
        <f t="shared" si="26"/>
        <v>3.0000000000000027E-2</v>
      </c>
      <c r="L532" s="898">
        <f t="shared" si="27"/>
        <v>2.5380000000000011</v>
      </c>
    </row>
    <row r="533" spans="10:12" s="1" customFormat="1" x14ac:dyDescent="0.25">
      <c r="J533" s="47">
        <v>54.7</v>
      </c>
      <c r="K533" s="897">
        <f t="shared" si="26"/>
        <v>3.0000000000000027E-2</v>
      </c>
      <c r="L533" s="898">
        <f t="shared" si="27"/>
        <v>2.5410000000000013</v>
      </c>
    </row>
    <row r="534" spans="10:12" s="1" customFormat="1" x14ac:dyDescent="0.25">
      <c r="J534" s="47">
        <v>54.8</v>
      </c>
      <c r="K534" s="897">
        <f t="shared" si="26"/>
        <v>3.0000000000000027E-2</v>
      </c>
      <c r="L534" s="898">
        <f t="shared" si="27"/>
        <v>2.5440000000000009</v>
      </c>
    </row>
    <row r="535" spans="10:12" s="1" customFormat="1" x14ac:dyDescent="0.25">
      <c r="J535" s="47">
        <v>54.9</v>
      </c>
      <c r="K535" s="897">
        <f t="shared" si="26"/>
        <v>3.0000000000000027E-2</v>
      </c>
      <c r="L535" s="898">
        <f t="shared" si="27"/>
        <v>2.547000000000001</v>
      </c>
    </row>
    <row r="536" spans="10:12" s="1" customFormat="1" x14ac:dyDescent="0.25">
      <c r="J536" s="47">
        <v>55</v>
      </c>
      <c r="K536" s="897">
        <f t="shared" si="26"/>
        <v>3.0000000000000027E-2</v>
      </c>
      <c r="L536" s="898">
        <f t="shared" si="27"/>
        <v>2.5500000000000012</v>
      </c>
    </row>
    <row r="537" spans="10:12" s="1" customFormat="1" x14ac:dyDescent="0.25">
      <c r="J537" s="47">
        <v>55.1</v>
      </c>
      <c r="K537" s="897">
        <f t="shared" si="26"/>
        <v>3.0000000000000027E-2</v>
      </c>
      <c r="L537" s="898">
        <f t="shared" si="27"/>
        <v>2.5530000000000013</v>
      </c>
    </row>
    <row r="538" spans="10:12" s="1" customFormat="1" x14ac:dyDescent="0.25">
      <c r="J538" s="47">
        <v>55.2</v>
      </c>
      <c r="K538" s="897">
        <f t="shared" si="26"/>
        <v>3.0000000000000027E-2</v>
      </c>
      <c r="L538" s="898">
        <f t="shared" si="27"/>
        <v>2.5560000000000014</v>
      </c>
    </row>
    <row r="539" spans="10:12" s="1" customFormat="1" x14ac:dyDescent="0.25">
      <c r="J539" s="47">
        <v>55.3</v>
      </c>
      <c r="K539" s="897">
        <f t="shared" si="26"/>
        <v>3.0000000000000027E-2</v>
      </c>
      <c r="L539" s="898">
        <f t="shared" si="27"/>
        <v>2.5590000000000011</v>
      </c>
    </row>
    <row r="540" spans="10:12" s="1" customFormat="1" x14ac:dyDescent="0.25">
      <c r="J540" s="47">
        <v>55.4</v>
      </c>
      <c r="K540" s="897">
        <f t="shared" si="26"/>
        <v>3.0000000000000027E-2</v>
      </c>
      <c r="L540" s="898">
        <f t="shared" si="27"/>
        <v>2.5620000000000012</v>
      </c>
    </row>
    <row r="541" spans="10:12" s="1" customFormat="1" x14ac:dyDescent="0.25">
      <c r="J541" s="47">
        <v>55.5</v>
      </c>
      <c r="K541" s="897">
        <f t="shared" si="26"/>
        <v>3.0000000000000027E-2</v>
      </c>
      <c r="L541" s="898">
        <f t="shared" si="27"/>
        <v>2.5650000000000013</v>
      </c>
    </row>
    <row r="542" spans="10:12" s="1" customFormat="1" x14ac:dyDescent="0.25">
      <c r="J542" s="47">
        <v>55.6</v>
      </c>
      <c r="K542" s="897">
        <f t="shared" si="26"/>
        <v>3.0000000000000027E-2</v>
      </c>
      <c r="L542" s="898">
        <f t="shared" si="27"/>
        <v>2.5680000000000014</v>
      </c>
    </row>
    <row r="543" spans="10:12" s="1" customFormat="1" x14ac:dyDescent="0.25">
      <c r="J543" s="47">
        <v>55.7</v>
      </c>
      <c r="K543" s="897">
        <f t="shared" si="26"/>
        <v>3.0000000000000027E-2</v>
      </c>
      <c r="L543" s="898">
        <f t="shared" si="27"/>
        <v>2.5710000000000015</v>
      </c>
    </row>
    <row r="544" spans="10:12" s="1" customFormat="1" x14ac:dyDescent="0.25">
      <c r="J544" s="47">
        <v>55.8</v>
      </c>
      <c r="K544" s="897">
        <f t="shared" si="26"/>
        <v>3.0000000000000027E-2</v>
      </c>
      <c r="L544" s="898">
        <f t="shared" si="27"/>
        <v>2.5740000000000012</v>
      </c>
    </row>
    <row r="545" spans="10:12" s="1" customFormat="1" x14ac:dyDescent="0.25">
      <c r="J545" s="47">
        <v>55.9</v>
      </c>
      <c r="K545" s="897">
        <f t="shared" si="26"/>
        <v>3.0000000000000027E-2</v>
      </c>
      <c r="L545" s="898">
        <f t="shared" si="27"/>
        <v>2.5770000000000013</v>
      </c>
    </row>
    <row r="546" spans="10:12" s="1" customFormat="1" x14ac:dyDescent="0.25">
      <c r="J546" s="47">
        <v>56</v>
      </c>
      <c r="K546" s="897">
        <f t="shared" si="26"/>
        <v>3.0000000000000027E-2</v>
      </c>
      <c r="L546" s="898">
        <f t="shared" si="27"/>
        <v>2.5800000000000014</v>
      </c>
    </row>
    <row r="547" spans="10:12" s="1" customFormat="1" x14ac:dyDescent="0.25">
      <c r="J547" s="47">
        <v>56.1</v>
      </c>
      <c r="K547" s="897">
        <f t="shared" si="26"/>
        <v>3.0000000000000027E-2</v>
      </c>
      <c r="L547" s="898">
        <f t="shared" si="27"/>
        <v>2.5830000000000015</v>
      </c>
    </row>
    <row r="548" spans="10:12" s="1" customFormat="1" x14ac:dyDescent="0.25">
      <c r="J548" s="47">
        <v>56.2</v>
      </c>
      <c r="K548" s="897">
        <f t="shared" si="26"/>
        <v>3.0000000000000027E-2</v>
      </c>
      <c r="L548" s="898">
        <f t="shared" si="27"/>
        <v>2.5860000000000016</v>
      </c>
    </row>
    <row r="549" spans="10:12" s="1" customFormat="1" x14ac:dyDescent="0.25">
      <c r="J549" s="47">
        <v>56.3</v>
      </c>
      <c r="K549" s="897">
        <f t="shared" si="26"/>
        <v>3.0000000000000027E-2</v>
      </c>
      <c r="L549" s="898">
        <f t="shared" si="27"/>
        <v>2.5890000000000013</v>
      </c>
    </row>
    <row r="550" spans="10:12" s="1" customFormat="1" x14ac:dyDescent="0.25">
      <c r="J550" s="47">
        <v>56.4</v>
      </c>
      <c r="K550" s="897">
        <f t="shared" si="26"/>
        <v>3.0000000000000027E-2</v>
      </c>
      <c r="L550" s="898">
        <f t="shared" si="27"/>
        <v>2.5920000000000014</v>
      </c>
    </row>
    <row r="551" spans="10:12" s="1" customFormat="1" x14ac:dyDescent="0.25">
      <c r="J551" s="47">
        <v>56.5</v>
      </c>
      <c r="K551" s="897">
        <f t="shared" si="26"/>
        <v>3.0000000000000027E-2</v>
      </c>
      <c r="L551" s="898">
        <f t="shared" ref="L551:L582" si="28">L550+(K551)*(J551-J550)</f>
        <v>2.5950000000000015</v>
      </c>
    </row>
    <row r="552" spans="10:12" s="1" customFormat="1" x14ac:dyDescent="0.25">
      <c r="J552" s="47">
        <v>56.6</v>
      </c>
      <c r="K552" s="897">
        <f t="shared" si="26"/>
        <v>3.0000000000000027E-2</v>
      </c>
      <c r="L552" s="898">
        <f t="shared" si="28"/>
        <v>2.5980000000000016</v>
      </c>
    </row>
    <row r="553" spans="10:12" s="1" customFormat="1" x14ac:dyDescent="0.25">
      <c r="J553" s="47">
        <v>56.7</v>
      </c>
      <c r="K553" s="897">
        <f t="shared" si="26"/>
        <v>3.0000000000000027E-2</v>
      </c>
      <c r="L553" s="898">
        <f t="shared" si="28"/>
        <v>2.6010000000000018</v>
      </c>
    </row>
    <row r="554" spans="10:12" s="1" customFormat="1" x14ac:dyDescent="0.25">
      <c r="J554" s="47">
        <v>56.8</v>
      </c>
      <c r="K554" s="897">
        <f t="shared" si="26"/>
        <v>3.0000000000000027E-2</v>
      </c>
      <c r="L554" s="898">
        <f t="shared" si="28"/>
        <v>2.6040000000000014</v>
      </c>
    </row>
    <row r="555" spans="10:12" s="1" customFormat="1" x14ac:dyDescent="0.25">
      <c r="J555" s="47">
        <v>56.9</v>
      </c>
      <c r="K555" s="897">
        <f t="shared" si="26"/>
        <v>3.0000000000000027E-2</v>
      </c>
      <c r="L555" s="898">
        <f t="shared" si="28"/>
        <v>2.6070000000000015</v>
      </c>
    </row>
    <row r="556" spans="10:12" s="1" customFormat="1" x14ac:dyDescent="0.25">
      <c r="J556" s="47">
        <v>57</v>
      </c>
      <c r="K556" s="897">
        <f t="shared" si="26"/>
        <v>3.0000000000000027E-2</v>
      </c>
      <c r="L556" s="898">
        <f t="shared" si="28"/>
        <v>2.6100000000000017</v>
      </c>
    </row>
    <row r="557" spans="10:12" s="1" customFormat="1" x14ac:dyDescent="0.25">
      <c r="J557" s="47">
        <v>57.1</v>
      </c>
      <c r="K557" s="897">
        <f t="shared" si="26"/>
        <v>3.0000000000000027E-2</v>
      </c>
      <c r="L557" s="898">
        <f t="shared" si="28"/>
        <v>2.6130000000000018</v>
      </c>
    </row>
    <row r="558" spans="10:12" s="1" customFormat="1" x14ac:dyDescent="0.25">
      <c r="J558" s="47">
        <v>57.2</v>
      </c>
      <c r="K558" s="897">
        <f t="shared" si="26"/>
        <v>3.0000000000000027E-2</v>
      </c>
      <c r="L558" s="898">
        <f t="shared" si="28"/>
        <v>2.6160000000000019</v>
      </c>
    </row>
    <row r="559" spans="10:12" s="1" customFormat="1" x14ac:dyDescent="0.25">
      <c r="J559" s="47">
        <v>57.3</v>
      </c>
      <c r="K559" s="897">
        <f t="shared" si="26"/>
        <v>3.0000000000000027E-2</v>
      </c>
      <c r="L559" s="898">
        <f t="shared" si="28"/>
        <v>2.6190000000000015</v>
      </c>
    </row>
    <row r="560" spans="10:12" s="1" customFormat="1" x14ac:dyDescent="0.25">
      <c r="J560" s="47">
        <v>57.4</v>
      </c>
      <c r="K560" s="897">
        <f t="shared" si="26"/>
        <v>3.0000000000000027E-2</v>
      </c>
      <c r="L560" s="898">
        <f t="shared" si="28"/>
        <v>2.6220000000000017</v>
      </c>
    </row>
    <row r="561" spans="10:12" s="1" customFormat="1" x14ac:dyDescent="0.25">
      <c r="J561" s="47">
        <v>57.5</v>
      </c>
      <c r="K561" s="897">
        <f t="shared" si="26"/>
        <v>3.0000000000000027E-2</v>
      </c>
      <c r="L561" s="898">
        <f t="shared" si="28"/>
        <v>2.6250000000000018</v>
      </c>
    </row>
    <row r="562" spans="10:12" s="1" customFormat="1" x14ac:dyDescent="0.25">
      <c r="J562" s="47">
        <v>57.6</v>
      </c>
      <c r="K562" s="897">
        <f t="shared" si="26"/>
        <v>3.0000000000000027E-2</v>
      </c>
      <c r="L562" s="898">
        <f t="shared" si="28"/>
        <v>2.6280000000000019</v>
      </c>
    </row>
    <row r="563" spans="10:12" s="1" customFormat="1" x14ac:dyDescent="0.25">
      <c r="J563" s="47">
        <v>57.7</v>
      </c>
      <c r="K563" s="897">
        <f t="shared" si="26"/>
        <v>3.0000000000000027E-2</v>
      </c>
      <c r="L563" s="898">
        <f t="shared" si="28"/>
        <v>2.631000000000002</v>
      </c>
    </row>
    <row r="564" spans="10:12" s="1" customFormat="1" x14ac:dyDescent="0.25">
      <c r="J564" s="47">
        <v>57.8</v>
      </c>
      <c r="K564" s="897">
        <f t="shared" si="26"/>
        <v>3.0000000000000027E-2</v>
      </c>
      <c r="L564" s="898">
        <f t="shared" si="28"/>
        <v>2.6340000000000017</v>
      </c>
    </row>
    <row r="565" spans="10:12" s="1" customFormat="1" x14ac:dyDescent="0.25">
      <c r="J565" s="47">
        <v>57.9</v>
      </c>
      <c r="K565" s="897">
        <f t="shared" si="26"/>
        <v>3.0000000000000027E-2</v>
      </c>
      <c r="L565" s="898">
        <f t="shared" si="28"/>
        <v>2.6370000000000018</v>
      </c>
    </row>
    <row r="566" spans="10:12" s="1" customFormat="1" x14ac:dyDescent="0.25">
      <c r="J566" s="47">
        <v>58</v>
      </c>
      <c r="K566" s="897">
        <f t="shared" si="26"/>
        <v>3.0000000000000027E-2</v>
      </c>
      <c r="L566" s="898">
        <f t="shared" si="28"/>
        <v>2.6400000000000019</v>
      </c>
    </row>
    <row r="567" spans="10:12" s="1" customFormat="1" x14ac:dyDescent="0.25">
      <c r="J567" s="47">
        <v>58.1</v>
      </c>
      <c r="K567" s="897">
        <f t="shared" si="26"/>
        <v>3.0000000000000027E-2</v>
      </c>
      <c r="L567" s="898">
        <f t="shared" si="28"/>
        <v>2.643000000000002</v>
      </c>
    </row>
    <row r="568" spans="10:12" s="1" customFormat="1" x14ac:dyDescent="0.25">
      <c r="J568" s="47">
        <v>58.2</v>
      </c>
      <c r="K568" s="897">
        <f t="shared" si="26"/>
        <v>3.0000000000000027E-2</v>
      </c>
      <c r="L568" s="898">
        <f t="shared" si="28"/>
        <v>2.6460000000000021</v>
      </c>
    </row>
    <row r="569" spans="10:12" s="1" customFormat="1" x14ac:dyDescent="0.25">
      <c r="J569" s="47">
        <v>58.3</v>
      </c>
      <c r="K569" s="897">
        <f t="shared" si="26"/>
        <v>3.0000000000000027E-2</v>
      </c>
      <c r="L569" s="898">
        <f t="shared" si="28"/>
        <v>2.6490000000000018</v>
      </c>
    </row>
    <row r="570" spans="10:12" s="1" customFormat="1" x14ac:dyDescent="0.25">
      <c r="J570" s="47">
        <v>58.4</v>
      </c>
      <c r="K570" s="897">
        <f t="shared" si="26"/>
        <v>3.0000000000000027E-2</v>
      </c>
      <c r="L570" s="898">
        <f t="shared" si="28"/>
        <v>2.6520000000000019</v>
      </c>
    </row>
    <row r="571" spans="10:12" s="1" customFormat="1" x14ac:dyDescent="0.25">
      <c r="J571" s="47">
        <v>58.5</v>
      </c>
      <c r="K571" s="897">
        <f t="shared" si="26"/>
        <v>3.0000000000000027E-2</v>
      </c>
      <c r="L571" s="898">
        <f t="shared" si="28"/>
        <v>2.655000000000002</v>
      </c>
    </row>
    <row r="572" spans="10:12" s="1" customFormat="1" x14ac:dyDescent="0.25">
      <c r="J572" s="47">
        <v>58.6</v>
      </c>
      <c r="K572" s="897">
        <f t="shared" si="26"/>
        <v>3.0000000000000027E-2</v>
      </c>
      <c r="L572" s="898">
        <f t="shared" si="28"/>
        <v>2.6580000000000021</v>
      </c>
    </row>
    <row r="573" spans="10:12" s="1" customFormat="1" x14ac:dyDescent="0.25">
      <c r="J573" s="47">
        <v>58.7</v>
      </c>
      <c r="K573" s="897">
        <f t="shared" si="26"/>
        <v>3.0000000000000027E-2</v>
      </c>
      <c r="L573" s="898">
        <f t="shared" si="28"/>
        <v>2.6610000000000023</v>
      </c>
    </row>
    <row r="574" spans="10:12" s="1" customFormat="1" x14ac:dyDescent="0.25">
      <c r="J574" s="47">
        <v>58.8</v>
      </c>
      <c r="K574" s="897">
        <f t="shared" si="26"/>
        <v>3.0000000000000027E-2</v>
      </c>
      <c r="L574" s="898">
        <f t="shared" si="28"/>
        <v>2.6640000000000019</v>
      </c>
    </row>
    <row r="575" spans="10:12" s="1" customFormat="1" x14ac:dyDescent="0.25">
      <c r="J575" s="47">
        <v>58.9</v>
      </c>
      <c r="K575" s="897">
        <f t="shared" si="26"/>
        <v>3.0000000000000027E-2</v>
      </c>
      <c r="L575" s="898">
        <f t="shared" si="28"/>
        <v>2.667000000000002</v>
      </c>
    </row>
    <row r="576" spans="10:12" s="1" customFormat="1" x14ac:dyDescent="0.25">
      <c r="J576" s="47">
        <v>59</v>
      </c>
      <c r="K576" s="897">
        <f t="shared" si="26"/>
        <v>3.0000000000000027E-2</v>
      </c>
      <c r="L576" s="898">
        <f t="shared" si="28"/>
        <v>2.6700000000000021</v>
      </c>
    </row>
    <row r="577" spans="10:12" s="1" customFormat="1" x14ac:dyDescent="0.25">
      <c r="J577" s="47">
        <v>59.1</v>
      </c>
      <c r="K577" s="897">
        <f t="shared" si="26"/>
        <v>3.0000000000000027E-2</v>
      </c>
      <c r="L577" s="898">
        <f t="shared" si="28"/>
        <v>2.6730000000000023</v>
      </c>
    </row>
    <row r="578" spans="10:12" s="1" customFormat="1" x14ac:dyDescent="0.25">
      <c r="J578" s="47">
        <v>59.2</v>
      </c>
      <c r="K578" s="897">
        <f t="shared" si="26"/>
        <v>3.0000000000000027E-2</v>
      </c>
      <c r="L578" s="898">
        <f t="shared" si="28"/>
        <v>2.6760000000000024</v>
      </c>
    </row>
    <row r="579" spans="10:12" s="1" customFormat="1" x14ac:dyDescent="0.25">
      <c r="J579" s="47">
        <v>59.3</v>
      </c>
      <c r="K579" s="897">
        <f t="shared" si="26"/>
        <v>3.0000000000000027E-2</v>
      </c>
      <c r="L579" s="898">
        <f t="shared" si="28"/>
        <v>2.679000000000002</v>
      </c>
    </row>
    <row r="580" spans="10:12" s="1" customFormat="1" x14ac:dyDescent="0.25">
      <c r="J580" s="47">
        <v>59.4</v>
      </c>
      <c r="K580" s="897">
        <f t="shared" si="26"/>
        <v>3.0000000000000027E-2</v>
      </c>
      <c r="L580" s="898">
        <f t="shared" si="28"/>
        <v>2.6820000000000022</v>
      </c>
    </row>
    <row r="581" spans="10:12" s="1" customFormat="1" x14ac:dyDescent="0.25">
      <c r="J581" s="47">
        <v>59.5</v>
      </c>
      <c r="K581" s="897">
        <f t="shared" si="26"/>
        <v>3.0000000000000027E-2</v>
      </c>
      <c r="L581" s="898">
        <f t="shared" si="28"/>
        <v>2.6850000000000023</v>
      </c>
    </row>
    <row r="582" spans="10:12" s="1" customFormat="1" x14ac:dyDescent="0.25">
      <c r="J582" s="47">
        <v>59.6</v>
      </c>
      <c r="K582" s="897">
        <f t="shared" ref="K582:K645" si="29">LOOKUP(J582,$C$6:$C$17,$H$6:$H$17)</f>
        <v>3.0000000000000027E-2</v>
      </c>
      <c r="L582" s="898">
        <f t="shared" si="28"/>
        <v>2.6880000000000024</v>
      </c>
    </row>
    <row r="583" spans="10:12" s="1" customFormat="1" x14ac:dyDescent="0.25">
      <c r="J583" s="47">
        <v>59.7</v>
      </c>
      <c r="K583" s="897">
        <f t="shared" si="29"/>
        <v>3.0000000000000027E-2</v>
      </c>
      <c r="L583" s="898">
        <f>L582+(K583)*(J583-J582)</f>
        <v>2.6910000000000025</v>
      </c>
    </row>
    <row r="584" spans="10:12" s="1" customFormat="1" x14ac:dyDescent="0.25">
      <c r="J584" s="47">
        <v>59.8</v>
      </c>
      <c r="K584" s="897">
        <f t="shared" si="29"/>
        <v>3.0000000000000027E-2</v>
      </c>
      <c r="L584" s="898">
        <f>L583+(K584)*(J584-J583)</f>
        <v>2.6940000000000022</v>
      </c>
    </row>
    <row r="585" spans="10:12" s="1" customFormat="1" x14ac:dyDescent="0.25">
      <c r="J585" s="47">
        <v>59.9</v>
      </c>
      <c r="K585" s="897">
        <f t="shared" si="29"/>
        <v>3.0000000000000027E-2</v>
      </c>
      <c r="L585" s="898">
        <f>L584+(K585)*(J585-J584)</f>
        <v>2.6970000000000023</v>
      </c>
    </row>
    <row r="586" spans="10:12" s="1" customFormat="1" x14ac:dyDescent="0.25">
      <c r="J586" s="47">
        <v>60</v>
      </c>
      <c r="K586" s="897">
        <f t="shared" si="29"/>
        <v>2.9999999999999982E-2</v>
      </c>
      <c r="L586" s="898">
        <v>2.7</v>
      </c>
    </row>
    <row r="587" spans="10:12" s="1" customFormat="1" x14ac:dyDescent="0.25">
      <c r="J587" s="47">
        <v>60.1</v>
      </c>
      <c r="K587" s="897">
        <f t="shared" si="29"/>
        <v>2.9999999999999982E-2</v>
      </c>
      <c r="L587" s="898">
        <f t="shared" ref="L587:L618" si="30">L586+(K587)*(J587-J586)</f>
        <v>2.7030000000000003</v>
      </c>
    </row>
    <row r="588" spans="10:12" s="1" customFormat="1" x14ac:dyDescent="0.25">
      <c r="J588" s="47">
        <v>60.2</v>
      </c>
      <c r="K588" s="897">
        <f t="shared" si="29"/>
        <v>2.9999999999999982E-2</v>
      </c>
      <c r="L588" s="898">
        <f t="shared" si="30"/>
        <v>2.7060000000000004</v>
      </c>
    </row>
    <row r="589" spans="10:12" s="1" customFormat="1" x14ac:dyDescent="0.25">
      <c r="J589" s="47">
        <v>60.3</v>
      </c>
      <c r="K589" s="897">
        <f t="shared" si="29"/>
        <v>2.9999999999999982E-2</v>
      </c>
      <c r="L589" s="898">
        <f t="shared" si="30"/>
        <v>2.7090000000000001</v>
      </c>
    </row>
    <row r="590" spans="10:12" s="1" customFormat="1" x14ac:dyDescent="0.25">
      <c r="J590" s="47">
        <v>60.4</v>
      </c>
      <c r="K590" s="897">
        <f t="shared" si="29"/>
        <v>2.9999999999999982E-2</v>
      </c>
      <c r="L590" s="898">
        <f t="shared" si="30"/>
        <v>2.7120000000000002</v>
      </c>
    </row>
    <row r="591" spans="10:12" s="1" customFormat="1" x14ac:dyDescent="0.25">
      <c r="J591" s="47">
        <v>60.5</v>
      </c>
      <c r="K591" s="897">
        <f t="shared" si="29"/>
        <v>2.9999999999999982E-2</v>
      </c>
      <c r="L591" s="898">
        <f t="shared" si="30"/>
        <v>2.7150000000000003</v>
      </c>
    </row>
    <row r="592" spans="10:12" s="1" customFormat="1" x14ac:dyDescent="0.25">
      <c r="J592" s="47">
        <v>60.6</v>
      </c>
      <c r="K592" s="897">
        <f t="shared" si="29"/>
        <v>2.9999999999999982E-2</v>
      </c>
      <c r="L592" s="898">
        <f t="shared" si="30"/>
        <v>2.7180000000000004</v>
      </c>
    </row>
    <row r="593" spans="10:12" s="1" customFormat="1" x14ac:dyDescent="0.25">
      <c r="J593" s="47">
        <v>60.7</v>
      </c>
      <c r="K593" s="897">
        <f t="shared" si="29"/>
        <v>2.9999999999999982E-2</v>
      </c>
      <c r="L593" s="898">
        <f t="shared" si="30"/>
        <v>2.7210000000000005</v>
      </c>
    </row>
    <row r="594" spans="10:12" s="1" customFormat="1" x14ac:dyDescent="0.25">
      <c r="J594" s="47">
        <v>60.8</v>
      </c>
      <c r="K594" s="897">
        <f t="shared" si="29"/>
        <v>2.9999999999999982E-2</v>
      </c>
      <c r="L594" s="898">
        <f t="shared" si="30"/>
        <v>2.7240000000000002</v>
      </c>
    </row>
    <row r="595" spans="10:12" s="1" customFormat="1" x14ac:dyDescent="0.25">
      <c r="J595" s="47">
        <v>60.9</v>
      </c>
      <c r="K595" s="897">
        <f t="shared" si="29"/>
        <v>2.9999999999999982E-2</v>
      </c>
      <c r="L595" s="898">
        <f t="shared" si="30"/>
        <v>2.7270000000000003</v>
      </c>
    </row>
    <row r="596" spans="10:12" s="1" customFormat="1" x14ac:dyDescent="0.25">
      <c r="J596" s="47">
        <v>61</v>
      </c>
      <c r="K596" s="897">
        <f t="shared" si="29"/>
        <v>2.9999999999999982E-2</v>
      </c>
      <c r="L596" s="898">
        <f t="shared" si="30"/>
        <v>2.7300000000000004</v>
      </c>
    </row>
    <row r="597" spans="10:12" s="1" customFormat="1" x14ac:dyDescent="0.25">
      <c r="J597" s="47">
        <v>61.1</v>
      </c>
      <c r="K597" s="897">
        <f t="shared" si="29"/>
        <v>2.9999999999999982E-2</v>
      </c>
      <c r="L597" s="898">
        <f t="shared" si="30"/>
        <v>2.7330000000000005</v>
      </c>
    </row>
    <row r="598" spans="10:12" s="1" customFormat="1" x14ac:dyDescent="0.25">
      <c r="J598" s="47">
        <v>61.2</v>
      </c>
      <c r="K598" s="897">
        <f t="shared" si="29"/>
        <v>2.9999999999999982E-2</v>
      </c>
      <c r="L598" s="898">
        <f t="shared" si="30"/>
        <v>2.7360000000000007</v>
      </c>
    </row>
    <row r="599" spans="10:12" s="1" customFormat="1" x14ac:dyDescent="0.25">
      <c r="J599" s="47">
        <v>61.3</v>
      </c>
      <c r="K599" s="897">
        <f t="shared" si="29"/>
        <v>2.9999999999999982E-2</v>
      </c>
      <c r="L599" s="898">
        <f t="shared" si="30"/>
        <v>2.7390000000000003</v>
      </c>
    </row>
    <row r="600" spans="10:12" s="1" customFormat="1" x14ac:dyDescent="0.25">
      <c r="J600" s="47">
        <v>61.4</v>
      </c>
      <c r="K600" s="897">
        <f t="shared" si="29"/>
        <v>2.9999999999999982E-2</v>
      </c>
      <c r="L600" s="898">
        <f t="shared" si="30"/>
        <v>2.7420000000000004</v>
      </c>
    </row>
    <row r="601" spans="10:12" s="1" customFormat="1" x14ac:dyDescent="0.25">
      <c r="J601" s="47">
        <v>61.5</v>
      </c>
      <c r="K601" s="897">
        <f t="shared" si="29"/>
        <v>2.9999999999999982E-2</v>
      </c>
      <c r="L601" s="898">
        <f t="shared" si="30"/>
        <v>2.7450000000000006</v>
      </c>
    </row>
    <row r="602" spans="10:12" s="1" customFormat="1" x14ac:dyDescent="0.25">
      <c r="J602" s="47">
        <v>61.6</v>
      </c>
      <c r="K602" s="897">
        <f t="shared" si="29"/>
        <v>2.9999999999999982E-2</v>
      </c>
      <c r="L602" s="898">
        <f t="shared" si="30"/>
        <v>2.7480000000000007</v>
      </c>
    </row>
    <row r="603" spans="10:12" s="1" customFormat="1" x14ac:dyDescent="0.25">
      <c r="J603" s="47">
        <v>61.7</v>
      </c>
      <c r="K603" s="897">
        <f t="shared" si="29"/>
        <v>2.9999999999999982E-2</v>
      </c>
      <c r="L603" s="898">
        <f t="shared" si="30"/>
        <v>2.7510000000000008</v>
      </c>
    </row>
    <row r="604" spans="10:12" s="1" customFormat="1" x14ac:dyDescent="0.25">
      <c r="J604" s="47">
        <v>61.8</v>
      </c>
      <c r="K604" s="897">
        <f t="shared" si="29"/>
        <v>2.9999999999999982E-2</v>
      </c>
      <c r="L604" s="898">
        <f t="shared" si="30"/>
        <v>2.7540000000000004</v>
      </c>
    </row>
    <row r="605" spans="10:12" s="1" customFormat="1" x14ac:dyDescent="0.25">
      <c r="J605" s="47">
        <v>61.9</v>
      </c>
      <c r="K605" s="897">
        <f t="shared" si="29"/>
        <v>2.9999999999999982E-2</v>
      </c>
      <c r="L605" s="898">
        <f t="shared" si="30"/>
        <v>2.7570000000000006</v>
      </c>
    </row>
    <row r="606" spans="10:12" s="1" customFormat="1" x14ac:dyDescent="0.25">
      <c r="J606" s="47">
        <v>62</v>
      </c>
      <c r="K606" s="897">
        <f t="shared" si="29"/>
        <v>2.9999999999999982E-2</v>
      </c>
      <c r="L606" s="898">
        <f t="shared" si="30"/>
        <v>2.7600000000000007</v>
      </c>
    </row>
    <row r="607" spans="10:12" s="1" customFormat="1" x14ac:dyDescent="0.25">
      <c r="J607" s="47">
        <v>62.1</v>
      </c>
      <c r="K607" s="897">
        <f t="shared" si="29"/>
        <v>2.9999999999999982E-2</v>
      </c>
      <c r="L607" s="898">
        <f t="shared" si="30"/>
        <v>2.7630000000000008</v>
      </c>
    </row>
    <row r="608" spans="10:12" s="1" customFormat="1" x14ac:dyDescent="0.25">
      <c r="J608" s="47">
        <v>62.2</v>
      </c>
      <c r="K608" s="897">
        <f t="shared" si="29"/>
        <v>2.9999999999999982E-2</v>
      </c>
      <c r="L608" s="898">
        <f t="shared" si="30"/>
        <v>2.7660000000000009</v>
      </c>
    </row>
    <row r="609" spans="10:12" s="1" customFormat="1" x14ac:dyDescent="0.25">
      <c r="J609" s="47">
        <v>62.3</v>
      </c>
      <c r="K609" s="897">
        <f t="shared" si="29"/>
        <v>2.9999999999999982E-2</v>
      </c>
      <c r="L609" s="898">
        <f t="shared" si="30"/>
        <v>2.7690000000000006</v>
      </c>
    </row>
    <row r="610" spans="10:12" s="1" customFormat="1" x14ac:dyDescent="0.25">
      <c r="J610" s="47">
        <v>62.4</v>
      </c>
      <c r="K610" s="897">
        <f t="shared" si="29"/>
        <v>2.9999999999999982E-2</v>
      </c>
      <c r="L610" s="898">
        <f t="shared" si="30"/>
        <v>2.7720000000000007</v>
      </c>
    </row>
    <row r="611" spans="10:12" s="1" customFormat="1" x14ac:dyDescent="0.25">
      <c r="J611" s="47">
        <v>62.5</v>
      </c>
      <c r="K611" s="897">
        <f t="shared" si="29"/>
        <v>2.9999999999999982E-2</v>
      </c>
      <c r="L611" s="898">
        <f t="shared" si="30"/>
        <v>2.7750000000000008</v>
      </c>
    </row>
    <row r="612" spans="10:12" s="1" customFormat="1" x14ac:dyDescent="0.25">
      <c r="J612" s="47">
        <v>62.6</v>
      </c>
      <c r="K612" s="897">
        <f t="shared" si="29"/>
        <v>2.9999999999999982E-2</v>
      </c>
      <c r="L612" s="898">
        <f t="shared" si="30"/>
        <v>2.7780000000000009</v>
      </c>
    </row>
    <row r="613" spans="10:12" s="1" customFormat="1" x14ac:dyDescent="0.25">
      <c r="J613" s="47">
        <v>62.7</v>
      </c>
      <c r="K613" s="897">
        <f t="shared" si="29"/>
        <v>2.9999999999999982E-2</v>
      </c>
      <c r="L613" s="898">
        <f t="shared" si="30"/>
        <v>2.781000000000001</v>
      </c>
    </row>
    <row r="614" spans="10:12" s="1" customFormat="1" x14ac:dyDescent="0.25">
      <c r="J614" s="47">
        <v>62.8</v>
      </c>
      <c r="K614" s="897">
        <f t="shared" si="29"/>
        <v>2.9999999999999982E-2</v>
      </c>
      <c r="L614" s="898">
        <f t="shared" si="30"/>
        <v>2.7840000000000007</v>
      </c>
    </row>
    <row r="615" spans="10:12" s="1" customFormat="1" x14ac:dyDescent="0.25">
      <c r="J615" s="47">
        <v>62.9</v>
      </c>
      <c r="K615" s="897">
        <f t="shared" si="29"/>
        <v>2.9999999999999982E-2</v>
      </c>
      <c r="L615" s="898">
        <f t="shared" si="30"/>
        <v>2.7870000000000008</v>
      </c>
    </row>
    <row r="616" spans="10:12" s="1" customFormat="1" x14ac:dyDescent="0.25">
      <c r="J616" s="47">
        <v>63</v>
      </c>
      <c r="K616" s="897">
        <f t="shared" si="29"/>
        <v>2.9999999999999982E-2</v>
      </c>
      <c r="L616" s="898">
        <f t="shared" si="30"/>
        <v>2.7900000000000009</v>
      </c>
    </row>
    <row r="617" spans="10:12" s="1" customFormat="1" x14ac:dyDescent="0.25">
      <c r="J617" s="47">
        <v>63.1</v>
      </c>
      <c r="K617" s="897">
        <f t="shared" si="29"/>
        <v>2.9999999999999982E-2</v>
      </c>
      <c r="L617" s="898">
        <f t="shared" si="30"/>
        <v>2.793000000000001</v>
      </c>
    </row>
    <row r="618" spans="10:12" s="1" customFormat="1" x14ac:dyDescent="0.25">
      <c r="J618" s="47">
        <v>63.2</v>
      </c>
      <c r="K618" s="897">
        <f t="shared" si="29"/>
        <v>2.9999999999999982E-2</v>
      </c>
      <c r="L618" s="898">
        <f t="shared" si="30"/>
        <v>2.7960000000000012</v>
      </c>
    </row>
    <row r="619" spans="10:12" s="1" customFormat="1" x14ac:dyDescent="0.25">
      <c r="J619" s="47">
        <v>63.3</v>
      </c>
      <c r="K619" s="897">
        <f t="shared" si="29"/>
        <v>2.9999999999999982E-2</v>
      </c>
      <c r="L619" s="898">
        <f t="shared" ref="L619:L650" si="31">L618+(K619)*(J619-J618)</f>
        <v>2.7990000000000008</v>
      </c>
    </row>
    <row r="620" spans="10:12" s="1" customFormat="1" x14ac:dyDescent="0.25">
      <c r="J620" s="47">
        <v>63.4</v>
      </c>
      <c r="K620" s="897">
        <f t="shared" si="29"/>
        <v>2.9999999999999982E-2</v>
      </c>
      <c r="L620" s="898">
        <f t="shared" si="31"/>
        <v>2.8020000000000009</v>
      </c>
    </row>
    <row r="621" spans="10:12" s="1" customFormat="1" x14ac:dyDescent="0.25">
      <c r="J621" s="47">
        <v>63.5</v>
      </c>
      <c r="K621" s="897">
        <f t="shared" si="29"/>
        <v>2.9999999999999982E-2</v>
      </c>
      <c r="L621" s="898">
        <f t="shared" si="31"/>
        <v>2.805000000000001</v>
      </c>
    </row>
    <row r="622" spans="10:12" s="1" customFormat="1" x14ac:dyDescent="0.25">
      <c r="J622" s="47">
        <v>63.6</v>
      </c>
      <c r="K622" s="897">
        <f t="shared" si="29"/>
        <v>2.9999999999999982E-2</v>
      </c>
      <c r="L622" s="898">
        <f t="shared" si="31"/>
        <v>2.8080000000000012</v>
      </c>
    </row>
    <row r="623" spans="10:12" s="1" customFormat="1" x14ac:dyDescent="0.25">
      <c r="J623" s="47">
        <v>63.7</v>
      </c>
      <c r="K623" s="897">
        <f t="shared" si="29"/>
        <v>2.9999999999999982E-2</v>
      </c>
      <c r="L623" s="898">
        <f t="shared" si="31"/>
        <v>2.8110000000000013</v>
      </c>
    </row>
    <row r="624" spans="10:12" s="1" customFormat="1" x14ac:dyDescent="0.25">
      <c r="J624" s="47">
        <v>63.8</v>
      </c>
      <c r="K624" s="897">
        <f t="shared" si="29"/>
        <v>2.9999999999999982E-2</v>
      </c>
      <c r="L624" s="898">
        <f t="shared" si="31"/>
        <v>2.8140000000000009</v>
      </c>
    </row>
    <row r="625" spans="10:12" s="1" customFormat="1" x14ac:dyDescent="0.25">
      <c r="J625" s="47">
        <v>63.9</v>
      </c>
      <c r="K625" s="897">
        <f t="shared" si="29"/>
        <v>2.9999999999999982E-2</v>
      </c>
      <c r="L625" s="898">
        <f t="shared" si="31"/>
        <v>2.8170000000000011</v>
      </c>
    </row>
    <row r="626" spans="10:12" s="1" customFormat="1" x14ac:dyDescent="0.25">
      <c r="J626" s="47">
        <v>64</v>
      </c>
      <c r="K626" s="897">
        <f t="shared" si="29"/>
        <v>2.9999999999999982E-2</v>
      </c>
      <c r="L626" s="898">
        <f t="shared" si="31"/>
        <v>2.8200000000000012</v>
      </c>
    </row>
    <row r="627" spans="10:12" s="1" customFormat="1" x14ac:dyDescent="0.25">
      <c r="J627" s="47">
        <v>64.099999999999994</v>
      </c>
      <c r="K627" s="897">
        <f t="shared" si="29"/>
        <v>2.9999999999999982E-2</v>
      </c>
      <c r="L627" s="898">
        <f t="shared" si="31"/>
        <v>2.8230000000000008</v>
      </c>
    </row>
    <row r="628" spans="10:12" s="1" customFormat="1" x14ac:dyDescent="0.25">
      <c r="J628" s="47">
        <v>64.2</v>
      </c>
      <c r="K628" s="897">
        <f t="shared" si="29"/>
        <v>2.9999999999999982E-2</v>
      </c>
      <c r="L628" s="898">
        <f t="shared" si="31"/>
        <v>2.826000000000001</v>
      </c>
    </row>
    <row r="629" spans="10:12" s="1" customFormat="1" x14ac:dyDescent="0.25">
      <c r="J629" s="47">
        <v>64.3</v>
      </c>
      <c r="K629" s="897">
        <f t="shared" si="29"/>
        <v>2.9999999999999982E-2</v>
      </c>
      <c r="L629" s="898">
        <f t="shared" si="31"/>
        <v>2.8290000000000006</v>
      </c>
    </row>
    <row r="630" spans="10:12" s="1" customFormat="1" x14ac:dyDescent="0.25">
      <c r="J630" s="47">
        <v>64.400000000000006</v>
      </c>
      <c r="K630" s="897">
        <f t="shared" si="29"/>
        <v>2.9999999999999982E-2</v>
      </c>
      <c r="L630" s="898">
        <f t="shared" si="31"/>
        <v>2.8320000000000007</v>
      </c>
    </row>
    <row r="631" spans="10:12" s="1" customFormat="1" x14ac:dyDescent="0.25">
      <c r="J631" s="47">
        <v>64.5</v>
      </c>
      <c r="K631" s="897">
        <f t="shared" si="29"/>
        <v>2.9999999999999982E-2</v>
      </c>
      <c r="L631" s="898">
        <f t="shared" si="31"/>
        <v>2.8350000000000004</v>
      </c>
    </row>
    <row r="632" spans="10:12" s="1" customFormat="1" x14ac:dyDescent="0.25">
      <c r="J632" s="47">
        <v>64.599999999999994</v>
      </c>
      <c r="K632" s="897">
        <f t="shared" si="29"/>
        <v>2.9999999999999982E-2</v>
      </c>
      <c r="L632" s="898">
        <f t="shared" si="31"/>
        <v>2.8380000000000001</v>
      </c>
    </row>
    <row r="633" spans="10:12" s="1" customFormat="1" x14ac:dyDescent="0.25">
      <c r="J633" s="47">
        <v>64.7</v>
      </c>
      <c r="K633" s="897">
        <f t="shared" si="29"/>
        <v>2.9999999999999982E-2</v>
      </c>
      <c r="L633" s="898">
        <f t="shared" si="31"/>
        <v>2.8410000000000002</v>
      </c>
    </row>
    <row r="634" spans="10:12" s="1" customFormat="1" x14ac:dyDescent="0.25">
      <c r="J634" s="47">
        <v>64.8</v>
      </c>
      <c r="K634" s="897">
        <f t="shared" si="29"/>
        <v>2.9999999999999982E-2</v>
      </c>
      <c r="L634" s="898">
        <f t="shared" si="31"/>
        <v>2.8439999999999999</v>
      </c>
    </row>
    <row r="635" spans="10:12" s="1" customFormat="1" x14ac:dyDescent="0.25">
      <c r="J635" s="47">
        <v>64.900000000000006</v>
      </c>
      <c r="K635" s="897">
        <f t="shared" si="29"/>
        <v>2.9999999999999982E-2</v>
      </c>
      <c r="L635" s="898">
        <f t="shared" si="31"/>
        <v>2.847</v>
      </c>
    </row>
    <row r="636" spans="10:12" s="1" customFormat="1" x14ac:dyDescent="0.25">
      <c r="J636" s="47">
        <v>65</v>
      </c>
      <c r="K636" s="897">
        <f t="shared" si="29"/>
        <v>2.9999999999999982E-2</v>
      </c>
      <c r="L636" s="898">
        <f t="shared" si="31"/>
        <v>2.8499999999999996</v>
      </c>
    </row>
    <row r="637" spans="10:12" s="1" customFormat="1" x14ac:dyDescent="0.25">
      <c r="J637" s="47">
        <v>65.099999999999994</v>
      </c>
      <c r="K637" s="897">
        <f t="shared" si="29"/>
        <v>2.9999999999999982E-2</v>
      </c>
      <c r="L637" s="898">
        <f t="shared" si="31"/>
        <v>2.8529999999999993</v>
      </c>
    </row>
    <row r="638" spans="10:12" s="1" customFormat="1" x14ac:dyDescent="0.25">
      <c r="J638" s="47">
        <v>65.2</v>
      </c>
      <c r="K638" s="897">
        <f t="shared" si="29"/>
        <v>2.9999999999999982E-2</v>
      </c>
      <c r="L638" s="898">
        <f t="shared" si="31"/>
        <v>2.8559999999999994</v>
      </c>
    </row>
    <row r="639" spans="10:12" s="1" customFormat="1" x14ac:dyDescent="0.25">
      <c r="J639" s="47">
        <v>65.3</v>
      </c>
      <c r="K639" s="897">
        <f t="shared" si="29"/>
        <v>2.9999999999999982E-2</v>
      </c>
      <c r="L639" s="898">
        <f t="shared" si="31"/>
        <v>2.8589999999999991</v>
      </c>
    </row>
    <row r="640" spans="10:12" s="1" customFormat="1" x14ac:dyDescent="0.25">
      <c r="J640" s="47">
        <v>65.400000000000006</v>
      </c>
      <c r="K640" s="897">
        <f t="shared" si="29"/>
        <v>2.9999999999999982E-2</v>
      </c>
      <c r="L640" s="898">
        <f t="shared" si="31"/>
        <v>2.8619999999999992</v>
      </c>
    </row>
    <row r="641" spans="10:12" s="1" customFormat="1" x14ac:dyDescent="0.25">
      <c r="J641" s="47">
        <v>65.5</v>
      </c>
      <c r="K641" s="897">
        <f t="shared" si="29"/>
        <v>2.9999999999999982E-2</v>
      </c>
      <c r="L641" s="898">
        <f t="shared" si="31"/>
        <v>2.8649999999999989</v>
      </c>
    </row>
    <row r="642" spans="10:12" s="1" customFormat="1" x14ac:dyDescent="0.25">
      <c r="J642" s="47">
        <v>65.599999999999994</v>
      </c>
      <c r="K642" s="897">
        <f t="shared" si="29"/>
        <v>2.9999999999999982E-2</v>
      </c>
      <c r="L642" s="898">
        <f t="shared" si="31"/>
        <v>2.8679999999999986</v>
      </c>
    </row>
    <row r="643" spans="10:12" s="1" customFormat="1" x14ac:dyDescent="0.25">
      <c r="J643" s="47">
        <v>65.7</v>
      </c>
      <c r="K643" s="897">
        <f t="shared" si="29"/>
        <v>2.9999999999999982E-2</v>
      </c>
      <c r="L643" s="898">
        <f t="shared" si="31"/>
        <v>2.8709999999999987</v>
      </c>
    </row>
    <row r="644" spans="10:12" s="1" customFormat="1" x14ac:dyDescent="0.25">
      <c r="J644" s="47">
        <v>65.8</v>
      </c>
      <c r="K644" s="897">
        <f t="shared" si="29"/>
        <v>2.9999999999999982E-2</v>
      </c>
      <c r="L644" s="898">
        <f t="shared" si="31"/>
        <v>2.8739999999999983</v>
      </c>
    </row>
    <row r="645" spans="10:12" s="1" customFormat="1" x14ac:dyDescent="0.25">
      <c r="J645" s="47">
        <v>65.900000000000006</v>
      </c>
      <c r="K645" s="897">
        <f t="shared" si="29"/>
        <v>2.9999999999999982E-2</v>
      </c>
      <c r="L645" s="898">
        <f t="shared" si="31"/>
        <v>2.8769999999999984</v>
      </c>
    </row>
    <row r="646" spans="10:12" s="1" customFormat="1" x14ac:dyDescent="0.25">
      <c r="J646" s="47">
        <v>66</v>
      </c>
      <c r="K646" s="897">
        <f t="shared" ref="K646:K709" si="32">LOOKUP(J646,$C$6:$C$17,$H$6:$H$17)</f>
        <v>2.9999999999999982E-2</v>
      </c>
      <c r="L646" s="898">
        <f t="shared" si="31"/>
        <v>2.8799999999999981</v>
      </c>
    </row>
    <row r="647" spans="10:12" s="1" customFormat="1" x14ac:dyDescent="0.25">
      <c r="J647" s="47">
        <v>66.099999999999994</v>
      </c>
      <c r="K647" s="897">
        <f t="shared" si="32"/>
        <v>2.9999999999999982E-2</v>
      </c>
      <c r="L647" s="898">
        <f t="shared" si="31"/>
        <v>2.8829999999999978</v>
      </c>
    </row>
    <row r="648" spans="10:12" s="1" customFormat="1" x14ac:dyDescent="0.25">
      <c r="J648" s="47">
        <v>66.2</v>
      </c>
      <c r="K648" s="897">
        <f t="shared" si="32"/>
        <v>2.9999999999999982E-2</v>
      </c>
      <c r="L648" s="898">
        <f t="shared" si="31"/>
        <v>2.8859999999999979</v>
      </c>
    </row>
    <row r="649" spans="10:12" s="1" customFormat="1" x14ac:dyDescent="0.25">
      <c r="J649" s="47">
        <v>66.3</v>
      </c>
      <c r="K649" s="897">
        <f t="shared" si="32"/>
        <v>2.9999999999999982E-2</v>
      </c>
      <c r="L649" s="898">
        <f t="shared" si="31"/>
        <v>2.8889999999999976</v>
      </c>
    </row>
    <row r="650" spans="10:12" s="1" customFormat="1" x14ac:dyDescent="0.25">
      <c r="J650" s="47">
        <v>66.400000000000006</v>
      </c>
      <c r="K650" s="897">
        <f t="shared" si="32"/>
        <v>2.9999999999999982E-2</v>
      </c>
      <c r="L650" s="898">
        <f t="shared" si="31"/>
        <v>2.8919999999999977</v>
      </c>
    </row>
    <row r="651" spans="10:12" s="1" customFormat="1" x14ac:dyDescent="0.25">
      <c r="J651" s="47">
        <v>66.5</v>
      </c>
      <c r="K651" s="897">
        <f t="shared" si="32"/>
        <v>2.9999999999999982E-2</v>
      </c>
      <c r="L651" s="898">
        <f t="shared" ref="L651:L682" si="33">L650+(K651)*(J651-J650)</f>
        <v>2.8949999999999974</v>
      </c>
    </row>
    <row r="652" spans="10:12" s="1" customFormat="1" x14ac:dyDescent="0.25">
      <c r="J652" s="47">
        <v>66.599999999999994</v>
      </c>
      <c r="K652" s="897">
        <f t="shared" si="32"/>
        <v>2.9999999999999982E-2</v>
      </c>
      <c r="L652" s="898">
        <f t="shared" si="33"/>
        <v>2.897999999999997</v>
      </c>
    </row>
    <row r="653" spans="10:12" s="1" customFormat="1" x14ac:dyDescent="0.25">
      <c r="J653" s="47">
        <v>66.7</v>
      </c>
      <c r="K653" s="897">
        <f t="shared" si="32"/>
        <v>2.9999999999999982E-2</v>
      </c>
      <c r="L653" s="898">
        <f t="shared" si="33"/>
        <v>2.9009999999999971</v>
      </c>
    </row>
    <row r="654" spans="10:12" s="1" customFormat="1" x14ac:dyDescent="0.25">
      <c r="J654" s="47">
        <v>66.8</v>
      </c>
      <c r="K654" s="897">
        <f t="shared" si="32"/>
        <v>2.9999999999999982E-2</v>
      </c>
      <c r="L654" s="898">
        <f t="shared" si="33"/>
        <v>2.9039999999999968</v>
      </c>
    </row>
    <row r="655" spans="10:12" s="1" customFormat="1" x14ac:dyDescent="0.25">
      <c r="J655" s="47">
        <v>66.900000000000006</v>
      </c>
      <c r="K655" s="897">
        <f t="shared" si="32"/>
        <v>2.9999999999999982E-2</v>
      </c>
      <c r="L655" s="898">
        <f t="shared" si="33"/>
        <v>2.9069999999999969</v>
      </c>
    </row>
    <row r="656" spans="10:12" s="1" customFormat="1" x14ac:dyDescent="0.25">
      <c r="J656" s="47">
        <v>67</v>
      </c>
      <c r="K656" s="897">
        <f t="shared" si="32"/>
        <v>2.9999999999999982E-2</v>
      </c>
      <c r="L656" s="898">
        <f t="shared" si="33"/>
        <v>2.9099999999999966</v>
      </c>
    </row>
    <row r="657" spans="10:12" s="1" customFormat="1" x14ac:dyDescent="0.25">
      <c r="J657" s="47">
        <v>67.099999999999994</v>
      </c>
      <c r="K657" s="897">
        <f t="shared" si="32"/>
        <v>2.9999999999999982E-2</v>
      </c>
      <c r="L657" s="898">
        <f t="shared" si="33"/>
        <v>2.9129999999999963</v>
      </c>
    </row>
    <row r="658" spans="10:12" s="1" customFormat="1" x14ac:dyDescent="0.25">
      <c r="J658" s="47">
        <v>67.2</v>
      </c>
      <c r="K658" s="897">
        <f t="shared" si="32"/>
        <v>2.9999999999999982E-2</v>
      </c>
      <c r="L658" s="898">
        <f t="shared" si="33"/>
        <v>2.9159999999999964</v>
      </c>
    </row>
    <row r="659" spans="10:12" s="1" customFormat="1" x14ac:dyDescent="0.25">
      <c r="J659" s="47">
        <v>67.3</v>
      </c>
      <c r="K659" s="897">
        <f t="shared" si="32"/>
        <v>2.9999999999999982E-2</v>
      </c>
      <c r="L659" s="898">
        <f t="shared" si="33"/>
        <v>2.918999999999996</v>
      </c>
    </row>
    <row r="660" spans="10:12" s="1" customFormat="1" x14ac:dyDescent="0.25">
      <c r="J660" s="47">
        <v>67.400000000000006</v>
      </c>
      <c r="K660" s="897">
        <f t="shared" si="32"/>
        <v>2.9999999999999982E-2</v>
      </c>
      <c r="L660" s="898">
        <f t="shared" si="33"/>
        <v>2.9219999999999962</v>
      </c>
    </row>
    <row r="661" spans="10:12" s="1" customFormat="1" x14ac:dyDescent="0.25">
      <c r="J661" s="47">
        <v>67.5</v>
      </c>
      <c r="K661" s="897">
        <f t="shared" si="32"/>
        <v>2.9999999999999982E-2</v>
      </c>
      <c r="L661" s="898">
        <f t="shared" si="33"/>
        <v>2.9249999999999958</v>
      </c>
    </row>
    <row r="662" spans="10:12" s="1" customFormat="1" x14ac:dyDescent="0.25">
      <c r="J662" s="47">
        <v>67.599999999999994</v>
      </c>
      <c r="K662" s="897">
        <f t="shared" si="32"/>
        <v>2.9999999999999982E-2</v>
      </c>
      <c r="L662" s="898">
        <f t="shared" si="33"/>
        <v>2.9279999999999955</v>
      </c>
    </row>
    <row r="663" spans="10:12" s="1" customFormat="1" x14ac:dyDescent="0.25">
      <c r="J663" s="47">
        <v>67.7</v>
      </c>
      <c r="K663" s="897">
        <f t="shared" si="32"/>
        <v>2.9999999999999982E-2</v>
      </c>
      <c r="L663" s="898">
        <f t="shared" si="33"/>
        <v>2.9309999999999956</v>
      </c>
    </row>
    <row r="664" spans="10:12" s="1" customFormat="1" x14ac:dyDescent="0.25">
      <c r="J664" s="47">
        <v>67.8</v>
      </c>
      <c r="K664" s="897">
        <f t="shared" si="32"/>
        <v>2.9999999999999982E-2</v>
      </c>
      <c r="L664" s="898">
        <f t="shared" si="33"/>
        <v>2.9339999999999953</v>
      </c>
    </row>
    <row r="665" spans="10:12" s="1" customFormat="1" x14ac:dyDescent="0.25">
      <c r="J665" s="47">
        <v>67.900000000000006</v>
      </c>
      <c r="K665" s="897">
        <f t="shared" si="32"/>
        <v>2.9999999999999982E-2</v>
      </c>
      <c r="L665" s="898">
        <f t="shared" si="33"/>
        <v>2.9369999999999954</v>
      </c>
    </row>
    <row r="666" spans="10:12" s="1" customFormat="1" x14ac:dyDescent="0.25">
      <c r="J666" s="47">
        <v>68</v>
      </c>
      <c r="K666" s="897">
        <f t="shared" si="32"/>
        <v>2.9999999999999982E-2</v>
      </c>
      <c r="L666" s="898">
        <f t="shared" si="33"/>
        <v>2.9399999999999951</v>
      </c>
    </row>
    <row r="667" spans="10:12" s="1" customFormat="1" x14ac:dyDescent="0.25">
      <c r="J667" s="47">
        <v>68.099999999999994</v>
      </c>
      <c r="K667" s="897">
        <f t="shared" si="32"/>
        <v>2.9999999999999982E-2</v>
      </c>
      <c r="L667" s="898">
        <f t="shared" si="33"/>
        <v>2.9429999999999947</v>
      </c>
    </row>
    <row r="668" spans="10:12" s="1" customFormat="1" x14ac:dyDescent="0.25">
      <c r="J668" s="47">
        <v>68.2</v>
      </c>
      <c r="K668" s="897">
        <f t="shared" si="32"/>
        <v>2.9999999999999982E-2</v>
      </c>
      <c r="L668" s="898">
        <f t="shared" si="33"/>
        <v>2.9459999999999948</v>
      </c>
    </row>
    <row r="669" spans="10:12" s="1" customFormat="1" x14ac:dyDescent="0.25">
      <c r="J669" s="47">
        <v>68.3</v>
      </c>
      <c r="K669" s="897">
        <f t="shared" si="32"/>
        <v>2.9999999999999982E-2</v>
      </c>
      <c r="L669" s="898">
        <f t="shared" si="33"/>
        <v>2.9489999999999945</v>
      </c>
    </row>
    <row r="670" spans="10:12" s="1" customFormat="1" x14ac:dyDescent="0.25">
      <c r="J670" s="47">
        <v>68.400000000000006</v>
      </c>
      <c r="K670" s="897">
        <f t="shared" si="32"/>
        <v>2.9999999999999982E-2</v>
      </c>
      <c r="L670" s="898">
        <f t="shared" si="33"/>
        <v>2.9519999999999946</v>
      </c>
    </row>
    <row r="671" spans="10:12" s="1" customFormat="1" x14ac:dyDescent="0.25">
      <c r="J671" s="47">
        <v>68.5</v>
      </c>
      <c r="K671" s="897">
        <f t="shared" si="32"/>
        <v>2.9999999999999982E-2</v>
      </c>
      <c r="L671" s="898">
        <f t="shared" si="33"/>
        <v>2.9549999999999943</v>
      </c>
    </row>
    <row r="672" spans="10:12" s="1" customFormat="1" x14ac:dyDescent="0.25">
      <c r="J672" s="47">
        <v>68.599999999999994</v>
      </c>
      <c r="K672" s="897">
        <f t="shared" si="32"/>
        <v>2.9999999999999982E-2</v>
      </c>
      <c r="L672" s="898">
        <f t="shared" si="33"/>
        <v>2.957999999999994</v>
      </c>
    </row>
    <row r="673" spans="10:12" s="1" customFormat="1" x14ac:dyDescent="0.25">
      <c r="J673" s="47">
        <v>68.7</v>
      </c>
      <c r="K673" s="897">
        <f t="shared" si="32"/>
        <v>2.9999999999999982E-2</v>
      </c>
      <c r="L673" s="898">
        <f t="shared" si="33"/>
        <v>2.9609999999999941</v>
      </c>
    </row>
    <row r="674" spans="10:12" s="1" customFormat="1" x14ac:dyDescent="0.25">
      <c r="J674" s="47">
        <v>68.8</v>
      </c>
      <c r="K674" s="897">
        <f t="shared" si="32"/>
        <v>2.9999999999999982E-2</v>
      </c>
      <c r="L674" s="898">
        <f t="shared" si="33"/>
        <v>2.9639999999999938</v>
      </c>
    </row>
    <row r="675" spans="10:12" s="1" customFormat="1" x14ac:dyDescent="0.25">
      <c r="J675" s="47">
        <v>68.900000000000006</v>
      </c>
      <c r="K675" s="897">
        <f t="shared" si="32"/>
        <v>2.9999999999999982E-2</v>
      </c>
      <c r="L675" s="898">
        <f t="shared" si="33"/>
        <v>2.9669999999999939</v>
      </c>
    </row>
    <row r="676" spans="10:12" s="1" customFormat="1" x14ac:dyDescent="0.25">
      <c r="J676" s="47">
        <v>69</v>
      </c>
      <c r="K676" s="897">
        <f t="shared" si="32"/>
        <v>2.9999999999999982E-2</v>
      </c>
      <c r="L676" s="898">
        <f t="shared" si="33"/>
        <v>2.9699999999999935</v>
      </c>
    </row>
    <row r="677" spans="10:12" s="1" customFormat="1" x14ac:dyDescent="0.25">
      <c r="J677" s="47">
        <v>69.099999999999994</v>
      </c>
      <c r="K677" s="897">
        <f t="shared" si="32"/>
        <v>2.9999999999999982E-2</v>
      </c>
      <c r="L677" s="898">
        <f t="shared" si="33"/>
        <v>2.9729999999999932</v>
      </c>
    </row>
    <row r="678" spans="10:12" s="1" customFormat="1" x14ac:dyDescent="0.25">
      <c r="J678" s="47">
        <v>69.2</v>
      </c>
      <c r="K678" s="897">
        <f t="shared" si="32"/>
        <v>2.9999999999999982E-2</v>
      </c>
      <c r="L678" s="898">
        <f t="shared" si="33"/>
        <v>2.9759999999999933</v>
      </c>
    </row>
    <row r="679" spans="10:12" s="1" customFormat="1" x14ac:dyDescent="0.25">
      <c r="J679" s="47">
        <v>69.3</v>
      </c>
      <c r="K679" s="897">
        <f t="shared" si="32"/>
        <v>2.9999999999999982E-2</v>
      </c>
      <c r="L679" s="898">
        <f t="shared" si="33"/>
        <v>2.978999999999993</v>
      </c>
    </row>
    <row r="680" spans="10:12" s="1" customFormat="1" x14ac:dyDescent="0.25">
      <c r="J680" s="47">
        <v>69.400000000000006</v>
      </c>
      <c r="K680" s="897">
        <f t="shared" si="32"/>
        <v>2.9999999999999982E-2</v>
      </c>
      <c r="L680" s="898">
        <f t="shared" si="33"/>
        <v>2.9819999999999931</v>
      </c>
    </row>
    <row r="681" spans="10:12" s="1" customFormat="1" x14ac:dyDescent="0.25">
      <c r="J681" s="47">
        <v>69.5</v>
      </c>
      <c r="K681" s="897">
        <f t="shared" si="32"/>
        <v>2.9999999999999982E-2</v>
      </c>
      <c r="L681" s="898">
        <f t="shared" si="33"/>
        <v>2.9849999999999928</v>
      </c>
    </row>
    <row r="682" spans="10:12" s="1" customFormat="1" x14ac:dyDescent="0.25">
      <c r="J682" s="47">
        <v>69.599999999999994</v>
      </c>
      <c r="K682" s="897">
        <f t="shared" si="32"/>
        <v>2.9999999999999982E-2</v>
      </c>
      <c r="L682" s="898">
        <f t="shared" si="33"/>
        <v>2.9879999999999924</v>
      </c>
    </row>
    <row r="683" spans="10:12" s="1" customFormat="1" x14ac:dyDescent="0.25">
      <c r="J683" s="47">
        <v>69.7</v>
      </c>
      <c r="K683" s="897">
        <f t="shared" si="32"/>
        <v>2.9999999999999982E-2</v>
      </c>
      <c r="L683" s="898">
        <f>L682+(K683)*(J683-J682)</f>
        <v>2.9909999999999926</v>
      </c>
    </row>
    <row r="684" spans="10:12" s="1" customFormat="1" x14ac:dyDescent="0.25">
      <c r="J684" s="47">
        <v>69.8</v>
      </c>
      <c r="K684" s="897">
        <f t="shared" si="32"/>
        <v>2.9999999999999982E-2</v>
      </c>
      <c r="L684" s="898">
        <f>L683+(K684)*(J684-J683)</f>
        <v>2.9939999999999922</v>
      </c>
    </row>
    <row r="685" spans="10:12" s="1" customFormat="1" x14ac:dyDescent="0.25">
      <c r="J685" s="47">
        <v>69.900000000000006</v>
      </c>
      <c r="K685" s="897">
        <f t="shared" si="32"/>
        <v>2.9999999999999982E-2</v>
      </c>
      <c r="L685" s="898">
        <f>L684+(K685)*(J685-J684)</f>
        <v>2.9969999999999923</v>
      </c>
    </row>
    <row r="686" spans="10:12" s="1" customFormat="1" x14ac:dyDescent="0.25">
      <c r="J686" s="47">
        <v>70</v>
      </c>
      <c r="K686" s="897">
        <f t="shared" si="32"/>
        <v>2.9999999999999982E-2</v>
      </c>
      <c r="L686" s="898">
        <v>3</v>
      </c>
    </row>
    <row r="687" spans="10:12" s="1" customFormat="1" x14ac:dyDescent="0.25">
      <c r="J687" s="47">
        <v>70.099999999999994</v>
      </c>
      <c r="K687" s="897">
        <f t="shared" si="32"/>
        <v>2.9999999999999982E-2</v>
      </c>
      <c r="L687" s="898">
        <f t="shared" ref="L687:L718" si="34">L686+(K687)*(J687-J686)</f>
        <v>3.0029999999999997</v>
      </c>
    </row>
    <row r="688" spans="10:12" s="1" customFormat="1" x14ac:dyDescent="0.25">
      <c r="J688" s="47">
        <v>70.2</v>
      </c>
      <c r="K688" s="897">
        <f t="shared" si="32"/>
        <v>2.9999999999999982E-2</v>
      </c>
      <c r="L688" s="898">
        <f t="shared" si="34"/>
        <v>3.0059999999999998</v>
      </c>
    </row>
    <row r="689" spans="10:12" s="1" customFormat="1" x14ac:dyDescent="0.25">
      <c r="J689" s="47">
        <v>70.3</v>
      </c>
      <c r="K689" s="897">
        <f t="shared" si="32"/>
        <v>2.9999999999999982E-2</v>
      </c>
      <c r="L689" s="898">
        <f t="shared" si="34"/>
        <v>3.0089999999999995</v>
      </c>
    </row>
    <row r="690" spans="10:12" s="1" customFormat="1" x14ac:dyDescent="0.25">
      <c r="J690" s="47">
        <v>70.400000000000006</v>
      </c>
      <c r="K690" s="897">
        <f t="shared" si="32"/>
        <v>2.9999999999999982E-2</v>
      </c>
      <c r="L690" s="898">
        <f t="shared" si="34"/>
        <v>3.0119999999999996</v>
      </c>
    </row>
    <row r="691" spans="10:12" s="1" customFormat="1" x14ac:dyDescent="0.25">
      <c r="J691" s="47">
        <v>70.5</v>
      </c>
      <c r="K691" s="897">
        <f t="shared" si="32"/>
        <v>2.9999999999999982E-2</v>
      </c>
      <c r="L691" s="898">
        <f t="shared" si="34"/>
        <v>3.0149999999999992</v>
      </c>
    </row>
    <row r="692" spans="10:12" s="1" customFormat="1" x14ac:dyDescent="0.25">
      <c r="J692" s="47">
        <v>70.599999999999994</v>
      </c>
      <c r="K692" s="897">
        <f t="shared" si="32"/>
        <v>2.9999999999999982E-2</v>
      </c>
      <c r="L692" s="898">
        <f t="shared" si="34"/>
        <v>3.0179999999999989</v>
      </c>
    </row>
    <row r="693" spans="10:12" s="1" customFormat="1" x14ac:dyDescent="0.25">
      <c r="J693" s="47">
        <v>70.7</v>
      </c>
      <c r="K693" s="897">
        <f t="shared" si="32"/>
        <v>2.9999999999999982E-2</v>
      </c>
      <c r="L693" s="898">
        <f t="shared" si="34"/>
        <v>3.020999999999999</v>
      </c>
    </row>
    <row r="694" spans="10:12" s="1" customFormat="1" x14ac:dyDescent="0.25">
      <c r="J694" s="47">
        <v>70.8</v>
      </c>
      <c r="K694" s="897">
        <f t="shared" si="32"/>
        <v>2.9999999999999982E-2</v>
      </c>
      <c r="L694" s="898">
        <f t="shared" si="34"/>
        <v>3.0239999999999987</v>
      </c>
    </row>
    <row r="695" spans="10:12" s="1" customFormat="1" x14ac:dyDescent="0.25">
      <c r="J695" s="47">
        <v>70.900000000000006</v>
      </c>
      <c r="K695" s="897">
        <f t="shared" si="32"/>
        <v>2.9999999999999982E-2</v>
      </c>
      <c r="L695" s="898">
        <f t="shared" si="34"/>
        <v>3.0269999999999988</v>
      </c>
    </row>
    <row r="696" spans="10:12" s="1" customFormat="1" x14ac:dyDescent="0.25">
      <c r="J696" s="47">
        <v>71</v>
      </c>
      <c r="K696" s="897">
        <f t="shared" si="32"/>
        <v>2.9999999999999982E-2</v>
      </c>
      <c r="L696" s="898">
        <f t="shared" si="34"/>
        <v>3.0299999999999985</v>
      </c>
    </row>
    <row r="697" spans="10:12" s="1" customFormat="1" x14ac:dyDescent="0.25">
      <c r="J697" s="47">
        <v>71.099999999999994</v>
      </c>
      <c r="K697" s="897">
        <f t="shared" si="32"/>
        <v>2.9999999999999982E-2</v>
      </c>
      <c r="L697" s="898">
        <f t="shared" si="34"/>
        <v>3.0329999999999981</v>
      </c>
    </row>
    <row r="698" spans="10:12" s="1" customFormat="1" x14ac:dyDescent="0.25">
      <c r="J698" s="47">
        <v>71.2</v>
      </c>
      <c r="K698" s="897">
        <f t="shared" si="32"/>
        <v>2.9999999999999982E-2</v>
      </c>
      <c r="L698" s="898">
        <f t="shared" si="34"/>
        <v>3.0359999999999983</v>
      </c>
    </row>
    <row r="699" spans="10:12" s="1" customFormat="1" x14ac:dyDescent="0.25">
      <c r="J699" s="47">
        <v>71.3</v>
      </c>
      <c r="K699" s="897">
        <f t="shared" si="32"/>
        <v>2.9999999999999982E-2</v>
      </c>
      <c r="L699" s="898">
        <f t="shared" si="34"/>
        <v>3.0389999999999979</v>
      </c>
    </row>
    <row r="700" spans="10:12" s="1" customFormat="1" x14ac:dyDescent="0.25">
      <c r="J700" s="47">
        <v>71.400000000000006</v>
      </c>
      <c r="K700" s="897">
        <f t="shared" si="32"/>
        <v>2.9999999999999982E-2</v>
      </c>
      <c r="L700" s="898">
        <f t="shared" si="34"/>
        <v>3.041999999999998</v>
      </c>
    </row>
    <row r="701" spans="10:12" s="1" customFormat="1" x14ac:dyDescent="0.25">
      <c r="J701" s="47">
        <v>71.5</v>
      </c>
      <c r="K701" s="897">
        <f t="shared" si="32"/>
        <v>2.9999999999999982E-2</v>
      </c>
      <c r="L701" s="898">
        <f t="shared" si="34"/>
        <v>3.0449999999999977</v>
      </c>
    </row>
    <row r="702" spans="10:12" s="1" customFormat="1" x14ac:dyDescent="0.25">
      <c r="J702" s="47">
        <v>71.599999999999994</v>
      </c>
      <c r="K702" s="897">
        <f t="shared" si="32"/>
        <v>2.9999999999999982E-2</v>
      </c>
      <c r="L702" s="898">
        <f t="shared" si="34"/>
        <v>3.0479999999999974</v>
      </c>
    </row>
    <row r="703" spans="10:12" s="1" customFormat="1" x14ac:dyDescent="0.25">
      <c r="J703" s="47">
        <v>71.7</v>
      </c>
      <c r="K703" s="897">
        <f t="shared" si="32"/>
        <v>2.9999999999999982E-2</v>
      </c>
      <c r="L703" s="898">
        <f t="shared" si="34"/>
        <v>3.0509999999999975</v>
      </c>
    </row>
    <row r="704" spans="10:12" s="1" customFormat="1" x14ac:dyDescent="0.25">
      <c r="J704" s="47">
        <v>71.8</v>
      </c>
      <c r="K704" s="897">
        <f t="shared" si="32"/>
        <v>2.9999999999999982E-2</v>
      </c>
      <c r="L704" s="898">
        <f t="shared" si="34"/>
        <v>3.0539999999999972</v>
      </c>
    </row>
    <row r="705" spans="10:12" s="1" customFormat="1" x14ac:dyDescent="0.25">
      <c r="J705" s="47">
        <v>71.900000000000006</v>
      </c>
      <c r="K705" s="897">
        <f t="shared" si="32"/>
        <v>2.9999999999999982E-2</v>
      </c>
      <c r="L705" s="898">
        <f t="shared" si="34"/>
        <v>3.0569999999999973</v>
      </c>
    </row>
    <row r="706" spans="10:12" s="1" customFormat="1" x14ac:dyDescent="0.25">
      <c r="J706" s="47">
        <v>72</v>
      </c>
      <c r="K706" s="897">
        <f t="shared" si="32"/>
        <v>2.9999999999999982E-2</v>
      </c>
      <c r="L706" s="898">
        <f t="shared" si="34"/>
        <v>3.0599999999999969</v>
      </c>
    </row>
    <row r="707" spans="10:12" s="1" customFormat="1" x14ac:dyDescent="0.25">
      <c r="J707" s="47">
        <v>72.099999999999994</v>
      </c>
      <c r="K707" s="897">
        <f t="shared" si="32"/>
        <v>2.9999999999999982E-2</v>
      </c>
      <c r="L707" s="898">
        <f t="shared" si="34"/>
        <v>3.0629999999999966</v>
      </c>
    </row>
    <row r="708" spans="10:12" s="1" customFormat="1" x14ac:dyDescent="0.25">
      <c r="J708" s="47">
        <v>72.2</v>
      </c>
      <c r="K708" s="897">
        <f t="shared" si="32"/>
        <v>2.9999999999999982E-2</v>
      </c>
      <c r="L708" s="898">
        <f t="shared" si="34"/>
        <v>3.0659999999999967</v>
      </c>
    </row>
    <row r="709" spans="10:12" s="1" customFormat="1" x14ac:dyDescent="0.25">
      <c r="J709" s="47">
        <v>72.3</v>
      </c>
      <c r="K709" s="897">
        <f t="shared" si="32"/>
        <v>2.9999999999999982E-2</v>
      </c>
      <c r="L709" s="898">
        <f t="shared" si="34"/>
        <v>3.0689999999999964</v>
      </c>
    </row>
    <row r="710" spans="10:12" s="1" customFormat="1" x14ac:dyDescent="0.25">
      <c r="J710" s="47">
        <v>72.400000000000006</v>
      </c>
      <c r="K710" s="897">
        <f t="shared" ref="K710:K773" si="35">LOOKUP(J710,$C$6:$C$17,$H$6:$H$17)</f>
        <v>2.9999999999999982E-2</v>
      </c>
      <c r="L710" s="898">
        <f t="shared" si="34"/>
        <v>3.0719999999999965</v>
      </c>
    </row>
    <row r="711" spans="10:12" s="1" customFormat="1" x14ac:dyDescent="0.25">
      <c r="J711" s="47">
        <v>72.5</v>
      </c>
      <c r="K711" s="897">
        <f t="shared" si="35"/>
        <v>2.9999999999999982E-2</v>
      </c>
      <c r="L711" s="898">
        <f t="shared" si="34"/>
        <v>3.0749999999999962</v>
      </c>
    </row>
    <row r="712" spans="10:12" s="1" customFormat="1" x14ac:dyDescent="0.25">
      <c r="J712" s="47">
        <v>72.599999999999994</v>
      </c>
      <c r="K712" s="897">
        <f t="shared" si="35"/>
        <v>2.9999999999999982E-2</v>
      </c>
      <c r="L712" s="898">
        <f t="shared" si="34"/>
        <v>3.0779999999999959</v>
      </c>
    </row>
    <row r="713" spans="10:12" s="1" customFormat="1" x14ac:dyDescent="0.25">
      <c r="J713" s="47">
        <v>72.7</v>
      </c>
      <c r="K713" s="897">
        <f t="shared" si="35"/>
        <v>2.9999999999999982E-2</v>
      </c>
      <c r="L713" s="898">
        <f t="shared" si="34"/>
        <v>3.080999999999996</v>
      </c>
    </row>
    <row r="714" spans="10:12" s="1" customFormat="1" x14ac:dyDescent="0.25">
      <c r="J714" s="47">
        <v>72.8</v>
      </c>
      <c r="K714" s="897">
        <f t="shared" si="35"/>
        <v>2.9999999999999982E-2</v>
      </c>
      <c r="L714" s="898">
        <f t="shared" si="34"/>
        <v>3.0839999999999956</v>
      </c>
    </row>
    <row r="715" spans="10:12" s="1" customFormat="1" x14ac:dyDescent="0.25">
      <c r="J715" s="47">
        <v>72.900000000000006</v>
      </c>
      <c r="K715" s="897">
        <f t="shared" si="35"/>
        <v>2.9999999999999982E-2</v>
      </c>
      <c r="L715" s="898">
        <f t="shared" si="34"/>
        <v>3.0869999999999957</v>
      </c>
    </row>
    <row r="716" spans="10:12" s="1" customFormat="1" x14ac:dyDescent="0.25">
      <c r="J716" s="47">
        <v>73</v>
      </c>
      <c r="K716" s="897">
        <f t="shared" si="35"/>
        <v>2.9999999999999982E-2</v>
      </c>
      <c r="L716" s="898">
        <f t="shared" si="34"/>
        <v>3.0899999999999954</v>
      </c>
    </row>
    <row r="717" spans="10:12" s="1" customFormat="1" x14ac:dyDescent="0.25">
      <c r="J717" s="47">
        <v>73.099999999999994</v>
      </c>
      <c r="K717" s="897">
        <f t="shared" si="35"/>
        <v>2.9999999999999982E-2</v>
      </c>
      <c r="L717" s="898">
        <f t="shared" si="34"/>
        <v>3.0929999999999951</v>
      </c>
    </row>
    <row r="718" spans="10:12" s="1" customFormat="1" x14ac:dyDescent="0.25">
      <c r="J718" s="47">
        <v>73.2</v>
      </c>
      <c r="K718" s="897">
        <f t="shared" si="35"/>
        <v>2.9999999999999982E-2</v>
      </c>
      <c r="L718" s="898">
        <f t="shared" si="34"/>
        <v>3.0959999999999952</v>
      </c>
    </row>
    <row r="719" spans="10:12" s="1" customFormat="1" x14ac:dyDescent="0.25">
      <c r="J719" s="47">
        <v>73.3</v>
      </c>
      <c r="K719" s="897">
        <f t="shared" si="35"/>
        <v>2.9999999999999982E-2</v>
      </c>
      <c r="L719" s="898">
        <f t="shared" ref="L719:L750" si="36">L718+(K719)*(J719-J718)</f>
        <v>3.0989999999999949</v>
      </c>
    </row>
    <row r="720" spans="10:12" s="1" customFormat="1" x14ac:dyDescent="0.25">
      <c r="J720" s="47">
        <v>73.400000000000006</v>
      </c>
      <c r="K720" s="897">
        <f t="shared" si="35"/>
        <v>2.9999999999999982E-2</v>
      </c>
      <c r="L720" s="898">
        <f t="shared" si="36"/>
        <v>3.101999999999995</v>
      </c>
    </row>
    <row r="721" spans="10:12" s="1" customFormat="1" x14ac:dyDescent="0.25">
      <c r="J721" s="47">
        <v>73.5</v>
      </c>
      <c r="K721" s="897">
        <f t="shared" si="35"/>
        <v>2.9999999999999982E-2</v>
      </c>
      <c r="L721" s="898">
        <f t="shared" si="36"/>
        <v>3.1049999999999947</v>
      </c>
    </row>
    <row r="722" spans="10:12" s="1" customFormat="1" x14ac:dyDescent="0.25">
      <c r="J722" s="47">
        <v>73.599999999999994</v>
      </c>
      <c r="K722" s="897">
        <f t="shared" si="35"/>
        <v>2.9999999999999982E-2</v>
      </c>
      <c r="L722" s="898">
        <f t="shared" si="36"/>
        <v>3.1079999999999943</v>
      </c>
    </row>
    <row r="723" spans="10:12" s="1" customFormat="1" x14ac:dyDescent="0.25">
      <c r="J723" s="47">
        <v>73.7</v>
      </c>
      <c r="K723" s="897">
        <f t="shared" si="35"/>
        <v>2.9999999999999982E-2</v>
      </c>
      <c r="L723" s="898">
        <f t="shared" si="36"/>
        <v>3.1109999999999944</v>
      </c>
    </row>
    <row r="724" spans="10:12" s="1" customFormat="1" x14ac:dyDescent="0.25">
      <c r="J724" s="47">
        <v>73.8</v>
      </c>
      <c r="K724" s="897">
        <f t="shared" si="35"/>
        <v>2.9999999999999982E-2</v>
      </c>
      <c r="L724" s="898">
        <f t="shared" si="36"/>
        <v>3.1139999999999941</v>
      </c>
    </row>
    <row r="725" spans="10:12" s="1" customFormat="1" x14ac:dyDescent="0.25">
      <c r="J725" s="47">
        <v>73.900000000000006</v>
      </c>
      <c r="K725" s="897">
        <f t="shared" si="35"/>
        <v>2.9999999999999982E-2</v>
      </c>
      <c r="L725" s="898">
        <f t="shared" si="36"/>
        <v>3.1169999999999942</v>
      </c>
    </row>
    <row r="726" spans="10:12" s="1" customFormat="1" x14ac:dyDescent="0.25">
      <c r="J726" s="47">
        <v>74</v>
      </c>
      <c r="K726" s="897">
        <f t="shared" si="35"/>
        <v>2.9999999999999982E-2</v>
      </c>
      <c r="L726" s="898">
        <f t="shared" si="36"/>
        <v>3.1199999999999939</v>
      </c>
    </row>
    <row r="727" spans="10:12" s="1" customFormat="1" x14ac:dyDescent="0.25">
      <c r="J727" s="47">
        <v>74.099999999999994</v>
      </c>
      <c r="K727" s="897">
        <f t="shared" si="35"/>
        <v>2.9999999999999982E-2</v>
      </c>
      <c r="L727" s="898">
        <f t="shared" si="36"/>
        <v>3.1229999999999936</v>
      </c>
    </row>
    <row r="728" spans="10:12" s="1" customFormat="1" x14ac:dyDescent="0.25">
      <c r="J728" s="47">
        <v>74.2</v>
      </c>
      <c r="K728" s="897">
        <f t="shared" si="35"/>
        <v>2.9999999999999982E-2</v>
      </c>
      <c r="L728" s="898">
        <f t="shared" si="36"/>
        <v>3.1259999999999937</v>
      </c>
    </row>
    <row r="729" spans="10:12" s="1" customFormat="1" x14ac:dyDescent="0.25">
      <c r="J729" s="47">
        <v>74.3</v>
      </c>
      <c r="K729" s="897">
        <f t="shared" si="35"/>
        <v>2.9999999999999982E-2</v>
      </c>
      <c r="L729" s="898">
        <f t="shared" si="36"/>
        <v>3.1289999999999933</v>
      </c>
    </row>
    <row r="730" spans="10:12" s="1" customFormat="1" x14ac:dyDescent="0.25">
      <c r="J730" s="47">
        <v>74.400000000000006</v>
      </c>
      <c r="K730" s="897">
        <f t="shared" si="35"/>
        <v>2.9999999999999982E-2</v>
      </c>
      <c r="L730" s="898">
        <f t="shared" si="36"/>
        <v>3.1319999999999935</v>
      </c>
    </row>
    <row r="731" spans="10:12" s="1" customFormat="1" x14ac:dyDescent="0.25">
      <c r="J731" s="47">
        <v>74.5</v>
      </c>
      <c r="K731" s="897">
        <f t="shared" si="35"/>
        <v>2.9999999999999982E-2</v>
      </c>
      <c r="L731" s="898">
        <f t="shared" si="36"/>
        <v>3.1349999999999931</v>
      </c>
    </row>
    <row r="732" spans="10:12" s="1" customFormat="1" x14ac:dyDescent="0.25">
      <c r="J732" s="47">
        <v>74.599999999999994</v>
      </c>
      <c r="K732" s="897">
        <f t="shared" si="35"/>
        <v>2.9999999999999982E-2</v>
      </c>
      <c r="L732" s="898">
        <f t="shared" si="36"/>
        <v>3.1379999999999928</v>
      </c>
    </row>
    <row r="733" spans="10:12" s="1" customFormat="1" x14ac:dyDescent="0.25">
      <c r="J733" s="47">
        <v>74.7</v>
      </c>
      <c r="K733" s="897">
        <f t="shared" si="35"/>
        <v>2.9999999999999982E-2</v>
      </c>
      <c r="L733" s="898">
        <f t="shared" si="36"/>
        <v>3.1409999999999929</v>
      </c>
    </row>
    <row r="734" spans="10:12" s="1" customFormat="1" x14ac:dyDescent="0.25">
      <c r="J734" s="47">
        <v>74.8</v>
      </c>
      <c r="K734" s="897">
        <f t="shared" si="35"/>
        <v>2.9999999999999982E-2</v>
      </c>
      <c r="L734" s="898">
        <f t="shared" si="36"/>
        <v>3.1439999999999926</v>
      </c>
    </row>
    <row r="735" spans="10:12" s="1" customFormat="1" x14ac:dyDescent="0.25">
      <c r="J735" s="47">
        <v>74.900000000000006</v>
      </c>
      <c r="K735" s="897">
        <f t="shared" si="35"/>
        <v>2.9999999999999982E-2</v>
      </c>
      <c r="L735" s="898">
        <f t="shared" si="36"/>
        <v>3.1469999999999927</v>
      </c>
    </row>
    <row r="736" spans="10:12" s="1" customFormat="1" x14ac:dyDescent="0.25">
      <c r="J736" s="47">
        <v>75</v>
      </c>
      <c r="K736" s="897">
        <f t="shared" si="35"/>
        <v>2.9999999999999982E-2</v>
      </c>
      <c r="L736" s="898">
        <f t="shared" si="36"/>
        <v>3.1499999999999924</v>
      </c>
    </row>
    <row r="737" spans="10:12" s="1" customFormat="1" x14ac:dyDescent="0.25">
      <c r="J737" s="47">
        <v>75.099999999999994</v>
      </c>
      <c r="K737" s="897">
        <f t="shared" si="35"/>
        <v>2.9999999999999982E-2</v>
      </c>
      <c r="L737" s="898">
        <f t="shared" si="36"/>
        <v>3.152999999999992</v>
      </c>
    </row>
    <row r="738" spans="10:12" s="1" customFormat="1" x14ac:dyDescent="0.25">
      <c r="J738" s="47">
        <v>75.2</v>
      </c>
      <c r="K738" s="897">
        <f t="shared" si="35"/>
        <v>2.9999999999999982E-2</v>
      </c>
      <c r="L738" s="898">
        <f t="shared" si="36"/>
        <v>3.1559999999999921</v>
      </c>
    </row>
    <row r="739" spans="10:12" s="1" customFormat="1" x14ac:dyDescent="0.25">
      <c r="J739" s="47">
        <v>75.3</v>
      </c>
      <c r="K739" s="897">
        <f t="shared" si="35"/>
        <v>2.9999999999999982E-2</v>
      </c>
      <c r="L739" s="898">
        <f t="shared" si="36"/>
        <v>3.1589999999999918</v>
      </c>
    </row>
    <row r="740" spans="10:12" s="1" customFormat="1" x14ac:dyDescent="0.25">
      <c r="J740" s="47">
        <v>75.400000000000006</v>
      </c>
      <c r="K740" s="897">
        <f t="shared" si="35"/>
        <v>2.9999999999999982E-2</v>
      </c>
      <c r="L740" s="898">
        <f t="shared" si="36"/>
        <v>3.1619999999999919</v>
      </c>
    </row>
    <row r="741" spans="10:12" s="1" customFormat="1" x14ac:dyDescent="0.25">
      <c r="J741" s="47">
        <v>75.5</v>
      </c>
      <c r="K741" s="897">
        <f t="shared" si="35"/>
        <v>2.9999999999999982E-2</v>
      </c>
      <c r="L741" s="898">
        <f t="shared" si="36"/>
        <v>3.1649999999999916</v>
      </c>
    </row>
    <row r="742" spans="10:12" s="1" customFormat="1" x14ac:dyDescent="0.25">
      <c r="J742" s="47">
        <v>75.599999999999994</v>
      </c>
      <c r="K742" s="897">
        <f t="shared" si="35"/>
        <v>2.9999999999999982E-2</v>
      </c>
      <c r="L742" s="898">
        <f t="shared" si="36"/>
        <v>3.1679999999999913</v>
      </c>
    </row>
    <row r="743" spans="10:12" s="1" customFormat="1" x14ac:dyDescent="0.25">
      <c r="J743" s="47">
        <v>75.7</v>
      </c>
      <c r="K743" s="897">
        <f t="shared" si="35"/>
        <v>2.9999999999999982E-2</v>
      </c>
      <c r="L743" s="898">
        <f t="shared" si="36"/>
        <v>3.1709999999999914</v>
      </c>
    </row>
    <row r="744" spans="10:12" s="1" customFormat="1" x14ac:dyDescent="0.25">
      <c r="J744" s="47">
        <v>75.8</v>
      </c>
      <c r="K744" s="897">
        <f t="shared" si="35"/>
        <v>2.9999999999999982E-2</v>
      </c>
      <c r="L744" s="898">
        <f t="shared" si="36"/>
        <v>3.1739999999999911</v>
      </c>
    </row>
    <row r="745" spans="10:12" s="1" customFormat="1" x14ac:dyDescent="0.25">
      <c r="J745" s="47">
        <v>75.900000000000006</v>
      </c>
      <c r="K745" s="897">
        <f t="shared" si="35"/>
        <v>2.9999999999999982E-2</v>
      </c>
      <c r="L745" s="898">
        <f t="shared" si="36"/>
        <v>3.1769999999999912</v>
      </c>
    </row>
    <row r="746" spans="10:12" s="1" customFormat="1" x14ac:dyDescent="0.25">
      <c r="J746" s="47">
        <v>76</v>
      </c>
      <c r="K746" s="897">
        <f t="shared" si="35"/>
        <v>2.9999999999999982E-2</v>
      </c>
      <c r="L746" s="898">
        <f t="shared" si="36"/>
        <v>3.1799999999999908</v>
      </c>
    </row>
    <row r="747" spans="10:12" s="1" customFormat="1" x14ac:dyDescent="0.25">
      <c r="J747" s="47">
        <v>76.099999999999994</v>
      </c>
      <c r="K747" s="897">
        <f t="shared" si="35"/>
        <v>2.9999999999999982E-2</v>
      </c>
      <c r="L747" s="898">
        <f t="shared" si="36"/>
        <v>3.1829999999999905</v>
      </c>
    </row>
    <row r="748" spans="10:12" s="1" customFormat="1" x14ac:dyDescent="0.25">
      <c r="J748" s="47">
        <v>76.2</v>
      </c>
      <c r="K748" s="897">
        <f t="shared" si="35"/>
        <v>2.9999999999999982E-2</v>
      </c>
      <c r="L748" s="898">
        <f t="shared" si="36"/>
        <v>3.1859999999999906</v>
      </c>
    </row>
    <row r="749" spans="10:12" s="1" customFormat="1" x14ac:dyDescent="0.25">
      <c r="J749" s="47">
        <v>76.3</v>
      </c>
      <c r="K749" s="897">
        <f t="shared" si="35"/>
        <v>2.9999999999999982E-2</v>
      </c>
      <c r="L749" s="898">
        <f t="shared" si="36"/>
        <v>3.1889999999999903</v>
      </c>
    </row>
    <row r="750" spans="10:12" s="1" customFormat="1" x14ac:dyDescent="0.25">
      <c r="J750" s="47">
        <v>76.400000000000006</v>
      </c>
      <c r="K750" s="897">
        <f t="shared" si="35"/>
        <v>2.9999999999999982E-2</v>
      </c>
      <c r="L750" s="898">
        <f t="shared" si="36"/>
        <v>3.1919999999999904</v>
      </c>
    </row>
    <row r="751" spans="10:12" s="1" customFormat="1" x14ac:dyDescent="0.25">
      <c r="J751" s="47">
        <v>76.5</v>
      </c>
      <c r="K751" s="897">
        <f t="shared" si="35"/>
        <v>2.9999999999999982E-2</v>
      </c>
      <c r="L751" s="898">
        <f t="shared" ref="L751:L782" si="37">L750+(K751)*(J751-J750)</f>
        <v>3.1949999999999901</v>
      </c>
    </row>
    <row r="752" spans="10:12" s="1" customFormat="1" x14ac:dyDescent="0.25">
      <c r="J752" s="47">
        <v>76.599999999999994</v>
      </c>
      <c r="K752" s="897">
        <f t="shared" si="35"/>
        <v>2.9999999999999982E-2</v>
      </c>
      <c r="L752" s="898">
        <f t="shared" si="37"/>
        <v>3.1979999999999897</v>
      </c>
    </row>
    <row r="753" spans="10:12" s="1" customFormat="1" x14ac:dyDescent="0.25">
      <c r="J753" s="47">
        <v>76.7</v>
      </c>
      <c r="K753" s="897">
        <f t="shared" si="35"/>
        <v>2.9999999999999982E-2</v>
      </c>
      <c r="L753" s="898">
        <f t="shared" si="37"/>
        <v>3.2009999999999899</v>
      </c>
    </row>
    <row r="754" spans="10:12" s="1" customFormat="1" x14ac:dyDescent="0.25">
      <c r="J754" s="47">
        <v>76.8</v>
      </c>
      <c r="K754" s="897">
        <f t="shared" si="35"/>
        <v>2.9999999999999982E-2</v>
      </c>
      <c r="L754" s="898">
        <f t="shared" si="37"/>
        <v>3.2039999999999895</v>
      </c>
    </row>
    <row r="755" spans="10:12" s="1" customFormat="1" x14ac:dyDescent="0.25">
      <c r="J755" s="47">
        <v>76.900000000000006</v>
      </c>
      <c r="K755" s="897">
        <f t="shared" si="35"/>
        <v>2.9999999999999982E-2</v>
      </c>
      <c r="L755" s="898">
        <f t="shared" si="37"/>
        <v>3.2069999999999896</v>
      </c>
    </row>
    <row r="756" spans="10:12" s="1" customFormat="1" x14ac:dyDescent="0.25">
      <c r="J756" s="47">
        <v>77</v>
      </c>
      <c r="K756" s="897">
        <f t="shared" si="35"/>
        <v>2.9999999999999982E-2</v>
      </c>
      <c r="L756" s="898">
        <f t="shared" si="37"/>
        <v>3.2099999999999893</v>
      </c>
    </row>
    <row r="757" spans="10:12" s="1" customFormat="1" x14ac:dyDescent="0.25">
      <c r="J757" s="47">
        <v>77.099999999999994</v>
      </c>
      <c r="K757" s="897">
        <f t="shared" si="35"/>
        <v>2.9999999999999982E-2</v>
      </c>
      <c r="L757" s="898">
        <f t="shared" si="37"/>
        <v>3.212999999999989</v>
      </c>
    </row>
    <row r="758" spans="10:12" s="1" customFormat="1" x14ac:dyDescent="0.25">
      <c r="J758" s="47">
        <v>77.2</v>
      </c>
      <c r="K758" s="897">
        <f t="shared" si="35"/>
        <v>2.9999999999999982E-2</v>
      </c>
      <c r="L758" s="898">
        <f t="shared" si="37"/>
        <v>3.2159999999999891</v>
      </c>
    </row>
    <row r="759" spans="10:12" s="1" customFormat="1" x14ac:dyDescent="0.25">
      <c r="J759" s="47">
        <v>77.3</v>
      </c>
      <c r="K759" s="897">
        <f t="shared" si="35"/>
        <v>2.9999999999999982E-2</v>
      </c>
      <c r="L759" s="898">
        <f t="shared" si="37"/>
        <v>3.2189999999999888</v>
      </c>
    </row>
    <row r="760" spans="10:12" s="1" customFormat="1" x14ac:dyDescent="0.25">
      <c r="J760" s="47">
        <v>77.400000000000006</v>
      </c>
      <c r="K760" s="897">
        <f t="shared" si="35"/>
        <v>2.9999999999999982E-2</v>
      </c>
      <c r="L760" s="898">
        <f t="shared" si="37"/>
        <v>3.2219999999999889</v>
      </c>
    </row>
    <row r="761" spans="10:12" s="1" customFormat="1" x14ac:dyDescent="0.25">
      <c r="J761" s="47">
        <v>77.5</v>
      </c>
      <c r="K761" s="897">
        <f t="shared" si="35"/>
        <v>2.9999999999999982E-2</v>
      </c>
      <c r="L761" s="898">
        <f t="shared" si="37"/>
        <v>3.2249999999999885</v>
      </c>
    </row>
    <row r="762" spans="10:12" s="1" customFormat="1" x14ac:dyDescent="0.25">
      <c r="J762" s="47">
        <v>77.599999999999994</v>
      </c>
      <c r="K762" s="897">
        <f t="shared" si="35"/>
        <v>2.9999999999999982E-2</v>
      </c>
      <c r="L762" s="898">
        <f t="shared" si="37"/>
        <v>3.2279999999999882</v>
      </c>
    </row>
    <row r="763" spans="10:12" s="1" customFormat="1" x14ac:dyDescent="0.25">
      <c r="J763" s="47">
        <v>77.7</v>
      </c>
      <c r="K763" s="897">
        <f t="shared" si="35"/>
        <v>2.9999999999999982E-2</v>
      </c>
      <c r="L763" s="898">
        <f t="shared" si="37"/>
        <v>3.2309999999999883</v>
      </c>
    </row>
    <row r="764" spans="10:12" s="1" customFormat="1" x14ac:dyDescent="0.25">
      <c r="J764" s="47">
        <v>77.8</v>
      </c>
      <c r="K764" s="897">
        <f t="shared" si="35"/>
        <v>2.9999999999999982E-2</v>
      </c>
      <c r="L764" s="898">
        <f t="shared" si="37"/>
        <v>3.233999999999988</v>
      </c>
    </row>
    <row r="765" spans="10:12" s="1" customFormat="1" x14ac:dyDescent="0.25">
      <c r="J765" s="47">
        <v>77.900000000000006</v>
      </c>
      <c r="K765" s="897">
        <f t="shared" si="35"/>
        <v>2.9999999999999982E-2</v>
      </c>
      <c r="L765" s="898">
        <f t="shared" si="37"/>
        <v>3.2369999999999881</v>
      </c>
    </row>
    <row r="766" spans="10:12" s="1" customFormat="1" x14ac:dyDescent="0.25">
      <c r="J766" s="47">
        <v>78</v>
      </c>
      <c r="K766" s="897">
        <f t="shared" si="35"/>
        <v>2.9999999999999982E-2</v>
      </c>
      <c r="L766" s="898">
        <f t="shared" si="37"/>
        <v>3.2399999999999878</v>
      </c>
    </row>
    <row r="767" spans="10:12" s="1" customFormat="1" x14ac:dyDescent="0.25">
      <c r="J767" s="47">
        <v>78.099999999999994</v>
      </c>
      <c r="K767" s="897">
        <f t="shared" si="35"/>
        <v>2.9999999999999982E-2</v>
      </c>
      <c r="L767" s="898">
        <f t="shared" si="37"/>
        <v>3.2429999999999874</v>
      </c>
    </row>
    <row r="768" spans="10:12" s="1" customFormat="1" x14ac:dyDescent="0.25">
      <c r="J768" s="47">
        <v>78.2</v>
      </c>
      <c r="K768" s="897">
        <f t="shared" si="35"/>
        <v>2.9999999999999982E-2</v>
      </c>
      <c r="L768" s="898">
        <f t="shared" si="37"/>
        <v>3.2459999999999876</v>
      </c>
    </row>
    <row r="769" spans="10:12" s="1" customFormat="1" x14ac:dyDescent="0.25">
      <c r="J769" s="47">
        <v>78.3</v>
      </c>
      <c r="K769" s="897">
        <f t="shared" si="35"/>
        <v>2.9999999999999982E-2</v>
      </c>
      <c r="L769" s="898">
        <f t="shared" si="37"/>
        <v>3.2489999999999872</v>
      </c>
    </row>
    <row r="770" spans="10:12" s="1" customFormat="1" x14ac:dyDescent="0.25">
      <c r="J770" s="47">
        <v>78.400000000000006</v>
      </c>
      <c r="K770" s="897">
        <f t="shared" si="35"/>
        <v>2.9999999999999982E-2</v>
      </c>
      <c r="L770" s="898">
        <f t="shared" si="37"/>
        <v>3.2519999999999873</v>
      </c>
    </row>
    <row r="771" spans="10:12" s="1" customFormat="1" x14ac:dyDescent="0.25">
      <c r="J771" s="47">
        <v>78.5</v>
      </c>
      <c r="K771" s="897">
        <f t="shared" si="35"/>
        <v>2.9999999999999982E-2</v>
      </c>
      <c r="L771" s="898">
        <f t="shared" si="37"/>
        <v>3.254999999999987</v>
      </c>
    </row>
    <row r="772" spans="10:12" s="1" customFormat="1" x14ac:dyDescent="0.25">
      <c r="J772" s="47">
        <v>78.599999999999994</v>
      </c>
      <c r="K772" s="897">
        <f t="shared" si="35"/>
        <v>2.9999999999999982E-2</v>
      </c>
      <c r="L772" s="898">
        <f t="shared" si="37"/>
        <v>3.2579999999999867</v>
      </c>
    </row>
    <row r="773" spans="10:12" s="1" customFormat="1" x14ac:dyDescent="0.25">
      <c r="J773" s="47">
        <v>78.7</v>
      </c>
      <c r="K773" s="897">
        <f t="shared" si="35"/>
        <v>2.9999999999999982E-2</v>
      </c>
      <c r="L773" s="898">
        <f t="shared" si="37"/>
        <v>3.2609999999999868</v>
      </c>
    </row>
    <row r="774" spans="10:12" s="1" customFormat="1" x14ac:dyDescent="0.25">
      <c r="J774" s="47">
        <v>78.8</v>
      </c>
      <c r="K774" s="897">
        <f t="shared" ref="K774:K837" si="38">LOOKUP(J774,$C$6:$C$17,$H$6:$H$17)</f>
        <v>2.9999999999999982E-2</v>
      </c>
      <c r="L774" s="898">
        <f t="shared" si="37"/>
        <v>3.2639999999999865</v>
      </c>
    </row>
    <row r="775" spans="10:12" s="1" customFormat="1" x14ac:dyDescent="0.25">
      <c r="J775" s="47">
        <v>78.900000000000006</v>
      </c>
      <c r="K775" s="897">
        <f t="shared" si="38"/>
        <v>2.9999999999999982E-2</v>
      </c>
      <c r="L775" s="898">
        <f t="shared" si="37"/>
        <v>3.2669999999999866</v>
      </c>
    </row>
    <row r="776" spans="10:12" s="1" customFormat="1" x14ac:dyDescent="0.25">
      <c r="J776" s="47">
        <v>79</v>
      </c>
      <c r="K776" s="897">
        <f t="shared" si="38"/>
        <v>2.9999999999999982E-2</v>
      </c>
      <c r="L776" s="898">
        <f t="shared" si="37"/>
        <v>3.2699999999999863</v>
      </c>
    </row>
    <row r="777" spans="10:12" s="1" customFormat="1" x14ac:dyDescent="0.25">
      <c r="J777" s="47">
        <v>79.099999999999994</v>
      </c>
      <c r="K777" s="897">
        <f t="shared" si="38"/>
        <v>2.9999999999999982E-2</v>
      </c>
      <c r="L777" s="898">
        <f t="shared" si="37"/>
        <v>3.2729999999999859</v>
      </c>
    </row>
    <row r="778" spans="10:12" s="1" customFormat="1" x14ac:dyDescent="0.25">
      <c r="J778" s="47">
        <v>79.2</v>
      </c>
      <c r="K778" s="897">
        <f t="shared" si="38"/>
        <v>2.9999999999999982E-2</v>
      </c>
      <c r="L778" s="898">
        <f t="shared" si="37"/>
        <v>3.275999999999986</v>
      </c>
    </row>
    <row r="779" spans="10:12" s="1" customFormat="1" x14ac:dyDescent="0.25">
      <c r="J779" s="47">
        <v>79.3</v>
      </c>
      <c r="K779" s="897">
        <f t="shared" si="38"/>
        <v>2.9999999999999982E-2</v>
      </c>
      <c r="L779" s="898">
        <f t="shared" si="37"/>
        <v>3.2789999999999857</v>
      </c>
    </row>
    <row r="780" spans="10:12" s="1" customFormat="1" x14ac:dyDescent="0.25">
      <c r="J780" s="47">
        <v>79.400000000000006</v>
      </c>
      <c r="K780" s="897">
        <f t="shared" si="38"/>
        <v>2.9999999999999982E-2</v>
      </c>
      <c r="L780" s="898">
        <f t="shared" si="37"/>
        <v>3.2819999999999858</v>
      </c>
    </row>
    <row r="781" spans="10:12" s="1" customFormat="1" x14ac:dyDescent="0.25">
      <c r="J781" s="47">
        <v>79.5</v>
      </c>
      <c r="K781" s="897">
        <f t="shared" si="38"/>
        <v>2.9999999999999982E-2</v>
      </c>
      <c r="L781" s="898">
        <f t="shared" si="37"/>
        <v>3.2849999999999855</v>
      </c>
    </row>
    <row r="782" spans="10:12" s="1" customFormat="1" x14ac:dyDescent="0.25">
      <c r="J782" s="47">
        <v>79.599999999999994</v>
      </c>
      <c r="K782" s="897">
        <f t="shared" si="38"/>
        <v>2.9999999999999982E-2</v>
      </c>
      <c r="L782" s="898">
        <f t="shared" si="37"/>
        <v>3.2879999999999852</v>
      </c>
    </row>
    <row r="783" spans="10:12" s="1" customFormat="1" x14ac:dyDescent="0.25">
      <c r="J783" s="47">
        <v>79.7</v>
      </c>
      <c r="K783" s="897">
        <f t="shared" si="38"/>
        <v>2.9999999999999982E-2</v>
      </c>
      <c r="L783" s="898">
        <f>L782+(K783)*(J783-J782)</f>
        <v>3.2909999999999853</v>
      </c>
    </row>
    <row r="784" spans="10:12" s="1" customFormat="1" x14ac:dyDescent="0.25">
      <c r="J784" s="47">
        <v>79.8</v>
      </c>
      <c r="K784" s="897">
        <f t="shared" si="38"/>
        <v>2.9999999999999982E-2</v>
      </c>
      <c r="L784" s="898">
        <f>L783+(K784)*(J784-J783)</f>
        <v>3.2939999999999849</v>
      </c>
    </row>
    <row r="785" spans="10:12" s="1" customFormat="1" x14ac:dyDescent="0.25">
      <c r="J785" s="47">
        <v>79.900000000000006</v>
      </c>
      <c r="K785" s="897">
        <f t="shared" si="38"/>
        <v>2.9999999999999982E-2</v>
      </c>
      <c r="L785" s="898">
        <f>L784+(K785)*(J785-J784)</f>
        <v>3.2969999999999851</v>
      </c>
    </row>
    <row r="786" spans="10:12" s="1" customFormat="1" x14ac:dyDescent="0.25">
      <c r="J786" s="47">
        <v>80</v>
      </c>
      <c r="K786" s="897">
        <f t="shared" si="38"/>
        <v>3.0000000000000027E-2</v>
      </c>
      <c r="L786" s="898">
        <v>3.3</v>
      </c>
    </row>
    <row r="787" spans="10:12" s="1" customFormat="1" x14ac:dyDescent="0.25">
      <c r="J787" s="47">
        <v>80.099999999999994</v>
      </c>
      <c r="K787" s="897">
        <f t="shared" si="38"/>
        <v>3.0000000000000027E-2</v>
      </c>
      <c r="L787" s="898">
        <f t="shared" ref="L787:L818" si="39">L786+(K787)*(J787-J786)</f>
        <v>3.3029999999999995</v>
      </c>
    </row>
    <row r="788" spans="10:12" s="1" customFormat="1" x14ac:dyDescent="0.25">
      <c r="J788" s="47">
        <v>80.2</v>
      </c>
      <c r="K788" s="897">
        <f t="shared" si="38"/>
        <v>3.0000000000000027E-2</v>
      </c>
      <c r="L788" s="898">
        <f t="shared" si="39"/>
        <v>3.3059999999999996</v>
      </c>
    </row>
    <row r="789" spans="10:12" s="1" customFormat="1" x14ac:dyDescent="0.25">
      <c r="J789" s="47">
        <v>80.3</v>
      </c>
      <c r="K789" s="897">
        <f t="shared" si="38"/>
        <v>3.0000000000000027E-2</v>
      </c>
      <c r="L789" s="898">
        <f t="shared" si="39"/>
        <v>3.3089999999999993</v>
      </c>
    </row>
    <row r="790" spans="10:12" s="1" customFormat="1" x14ac:dyDescent="0.25">
      <c r="J790" s="47">
        <v>80.400000000000006</v>
      </c>
      <c r="K790" s="897">
        <f t="shared" si="38"/>
        <v>3.0000000000000027E-2</v>
      </c>
      <c r="L790" s="898">
        <f t="shared" si="39"/>
        <v>3.3119999999999994</v>
      </c>
    </row>
    <row r="791" spans="10:12" s="1" customFormat="1" x14ac:dyDescent="0.25">
      <c r="J791" s="47">
        <v>80.5</v>
      </c>
      <c r="K791" s="897">
        <f t="shared" si="38"/>
        <v>3.0000000000000027E-2</v>
      </c>
      <c r="L791" s="898">
        <f t="shared" si="39"/>
        <v>3.3149999999999991</v>
      </c>
    </row>
    <row r="792" spans="10:12" s="1" customFormat="1" x14ac:dyDescent="0.25">
      <c r="J792" s="47">
        <v>80.599999999999994</v>
      </c>
      <c r="K792" s="897">
        <f t="shared" si="38"/>
        <v>3.0000000000000027E-2</v>
      </c>
      <c r="L792" s="898">
        <f t="shared" si="39"/>
        <v>3.3179999999999987</v>
      </c>
    </row>
    <row r="793" spans="10:12" s="1" customFormat="1" x14ac:dyDescent="0.25">
      <c r="J793" s="47">
        <v>80.7</v>
      </c>
      <c r="K793" s="897">
        <f t="shared" si="38"/>
        <v>3.0000000000000027E-2</v>
      </c>
      <c r="L793" s="898">
        <f t="shared" si="39"/>
        <v>3.3209999999999988</v>
      </c>
    </row>
    <row r="794" spans="10:12" s="1" customFormat="1" x14ac:dyDescent="0.25">
      <c r="J794" s="47">
        <v>80.8</v>
      </c>
      <c r="K794" s="897">
        <f t="shared" si="38"/>
        <v>3.0000000000000027E-2</v>
      </c>
      <c r="L794" s="898">
        <f t="shared" si="39"/>
        <v>3.3239999999999985</v>
      </c>
    </row>
    <row r="795" spans="10:12" s="1" customFormat="1" x14ac:dyDescent="0.25">
      <c r="J795" s="47">
        <v>80.900000000000006</v>
      </c>
      <c r="K795" s="897">
        <f t="shared" si="38"/>
        <v>3.0000000000000027E-2</v>
      </c>
      <c r="L795" s="898">
        <f t="shared" si="39"/>
        <v>3.3269999999999986</v>
      </c>
    </row>
    <row r="796" spans="10:12" s="1" customFormat="1" x14ac:dyDescent="0.25">
      <c r="J796" s="47">
        <v>81</v>
      </c>
      <c r="K796" s="897">
        <f t="shared" si="38"/>
        <v>3.0000000000000027E-2</v>
      </c>
      <c r="L796" s="898">
        <f t="shared" si="39"/>
        <v>3.3299999999999983</v>
      </c>
    </row>
    <row r="797" spans="10:12" s="1" customFormat="1" x14ac:dyDescent="0.25">
      <c r="J797" s="47">
        <v>81.099999999999994</v>
      </c>
      <c r="K797" s="897">
        <f t="shared" si="38"/>
        <v>3.0000000000000027E-2</v>
      </c>
      <c r="L797" s="898">
        <f t="shared" si="39"/>
        <v>3.332999999999998</v>
      </c>
    </row>
    <row r="798" spans="10:12" s="1" customFormat="1" x14ac:dyDescent="0.25">
      <c r="J798" s="47">
        <v>81.2</v>
      </c>
      <c r="K798" s="897">
        <f t="shared" si="38"/>
        <v>3.0000000000000027E-2</v>
      </c>
      <c r="L798" s="898">
        <f t="shared" si="39"/>
        <v>3.3359999999999981</v>
      </c>
    </row>
    <row r="799" spans="10:12" s="1" customFormat="1" x14ac:dyDescent="0.25">
      <c r="J799" s="47">
        <v>81.3</v>
      </c>
      <c r="K799" s="897">
        <f t="shared" si="38"/>
        <v>3.0000000000000027E-2</v>
      </c>
      <c r="L799" s="898">
        <f t="shared" si="39"/>
        <v>3.3389999999999977</v>
      </c>
    </row>
    <row r="800" spans="10:12" s="1" customFormat="1" x14ac:dyDescent="0.25">
      <c r="J800" s="47">
        <v>81.400000000000006</v>
      </c>
      <c r="K800" s="897">
        <f t="shared" si="38"/>
        <v>3.0000000000000027E-2</v>
      </c>
      <c r="L800" s="898">
        <f t="shared" si="39"/>
        <v>3.3419999999999979</v>
      </c>
    </row>
    <row r="801" spans="10:12" s="1" customFormat="1" x14ac:dyDescent="0.25">
      <c r="J801" s="47">
        <v>81.5</v>
      </c>
      <c r="K801" s="897">
        <f t="shared" si="38"/>
        <v>3.0000000000000027E-2</v>
      </c>
      <c r="L801" s="898">
        <f t="shared" si="39"/>
        <v>3.3449999999999975</v>
      </c>
    </row>
    <row r="802" spans="10:12" s="1" customFormat="1" x14ac:dyDescent="0.25">
      <c r="J802" s="47">
        <v>81.599999999999994</v>
      </c>
      <c r="K802" s="897">
        <f t="shared" si="38"/>
        <v>3.0000000000000027E-2</v>
      </c>
      <c r="L802" s="898">
        <f t="shared" si="39"/>
        <v>3.3479999999999972</v>
      </c>
    </row>
    <row r="803" spans="10:12" s="1" customFormat="1" x14ac:dyDescent="0.25">
      <c r="J803" s="47">
        <v>81.7</v>
      </c>
      <c r="K803" s="897">
        <f t="shared" si="38"/>
        <v>3.0000000000000027E-2</v>
      </c>
      <c r="L803" s="898">
        <f t="shared" si="39"/>
        <v>3.3509999999999973</v>
      </c>
    </row>
    <row r="804" spans="10:12" s="1" customFormat="1" x14ac:dyDescent="0.25">
      <c r="J804" s="47">
        <v>81.8</v>
      </c>
      <c r="K804" s="897">
        <f t="shared" si="38"/>
        <v>3.0000000000000027E-2</v>
      </c>
      <c r="L804" s="898">
        <f t="shared" si="39"/>
        <v>3.353999999999997</v>
      </c>
    </row>
    <row r="805" spans="10:12" s="1" customFormat="1" x14ac:dyDescent="0.25">
      <c r="J805" s="47">
        <v>81.900000000000006</v>
      </c>
      <c r="K805" s="897">
        <f t="shared" si="38"/>
        <v>3.0000000000000027E-2</v>
      </c>
      <c r="L805" s="898">
        <f t="shared" si="39"/>
        <v>3.3569999999999971</v>
      </c>
    </row>
    <row r="806" spans="10:12" s="1" customFormat="1" x14ac:dyDescent="0.25">
      <c r="J806" s="47">
        <v>82</v>
      </c>
      <c r="K806" s="897">
        <f t="shared" si="38"/>
        <v>3.0000000000000027E-2</v>
      </c>
      <c r="L806" s="898">
        <f t="shared" si="39"/>
        <v>3.3599999999999968</v>
      </c>
    </row>
    <row r="807" spans="10:12" s="1" customFormat="1" x14ac:dyDescent="0.25">
      <c r="J807" s="47">
        <v>82.1</v>
      </c>
      <c r="K807" s="897">
        <f t="shared" si="38"/>
        <v>3.0000000000000027E-2</v>
      </c>
      <c r="L807" s="898">
        <f t="shared" si="39"/>
        <v>3.3629999999999964</v>
      </c>
    </row>
    <row r="808" spans="10:12" s="1" customFormat="1" x14ac:dyDescent="0.25">
      <c r="J808" s="47">
        <v>82.2</v>
      </c>
      <c r="K808" s="897">
        <f t="shared" si="38"/>
        <v>3.0000000000000027E-2</v>
      </c>
      <c r="L808" s="898">
        <f t="shared" si="39"/>
        <v>3.3659999999999966</v>
      </c>
    </row>
    <row r="809" spans="10:12" s="1" customFormat="1" x14ac:dyDescent="0.25">
      <c r="J809" s="47">
        <v>82.3</v>
      </c>
      <c r="K809" s="897">
        <f t="shared" si="38"/>
        <v>3.0000000000000027E-2</v>
      </c>
      <c r="L809" s="898">
        <f t="shared" si="39"/>
        <v>3.3689999999999962</v>
      </c>
    </row>
    <row r="810" spans="10:12" s="1" customFormat="1" x14ac:dyDescent="0.25">
      <c r="J810" s="47">
        <v>82.4</v>
      </c>
      <c r="K810" s="897">
        <f t="shared" si="38"/>
        <v>3.0000000000000027E-2</v>
      </c>
      <c r="L810" s="898">
        <f t="shared" si="39"/>
        <v>3.3719999999999963</v>
      </c>
    </row>
    <row r="811" spans="10:12" s="1" customFormat="1" x14ac:dyDescent="0.25">
      <c r="J811" s="47">
        <v>82.5</v>
      </c>
      <c r="K811" s="897">
        <f t="shared" si="38"/>
        <v>3.0000000000000027E-2</v>
      </c>
      <c r="L811" s="898">
        <f t="shared" si="39"/>
        <v>3.374999999999996</v>
      </c>
    </row>
    <row r="812" spans="10:12" s="1" customFormat="1" x14ac:dyDescent="0.25">
      <c r="J812" s="47">
        <v>82.6</v>
      </c>
      <c r="K812" s="897">
        <f t="shared" si="38"/>
        <v>3.0000000000000027E-2</v>
      </c>
      <c r="L812" s="898">
        <f t="shared" si="39"/>
        <v>3.3779999999999957</v>
      </c>
    </row>
    <row r="813" spans="10:12" s="1" customFormat="1" x14ac:dyDescent="0.25">
      <c r="J813" s="47">
        <v>82.7</v>
      </c>
      <c r="K813" s="897">
        <f t="shared" si="38"/>
        <v>3.0000000000000027E-2</v>
      </c>
      <c r="L813" s="898">
        <f t="shared" si="39"/>
        <v>3.3809999999999958</v>
      </c>
    </row>
    <row r="814" spans="10:12" s="1" customFormat="1" x14ac:dyDescent="0.25">
      <c r="J814" s="47">
        <v>82.8</v>
      </c>
      <c r="K814" s="897">
        <f t="shared" si="38"/>
        <v>3.0000000000000027E-2</v>
      </c>
      <c r="L814" s="898">
        <f t="shared" si="39"/>
        <v>3.3839999999999955</v>
      </c>
    </row>
    <row r="815" spans="10:12" s="1" customFormat="1" x14ac:dyDescent="0.25">
      <c r="J815" s="47">
        <v>82.9</v>
      </c>
      <c r="K815" s="897">
        <f t="shared" si="38"/>
        <v>3.0000000000000027E-2</v>
      </c>
      <c r="L815" s="898">
        <f t="shared" si="39"/>
        <v>3.3869999999999956</v>
      </c>
    </row>
    <row r="816" spans="10:12" s="1" customFormat="1" x14ac:dyDescent="0.25">
      <c r="J816" s="47">
        <v>83</v>
      </c>
      <c r="K816" s="897">
        <f t="shared" si="38"/>
        <v>3.0000000000000027E-2</v>
      </c>
      <c r="L816" s="898">
        <f t="shared" si="39"/>
        <v>3.3899999999999952</v>
      </c>
    </row>
    <row r="817" spans="10:12" s="1" customFormat="1" x14ac:dyDescent="0.25">
      <c r="J817" s="47">
        <v>83.1</v>
      </c>
      <c r="K817" s="897">
        <f t="shared" si="38"/>
        <v>3.0000000000000027E-2</v>
      </c>
      <c r="L817" s="898">
        <f t="shared" si="39"/>
        <v>3.3929999999999949</v>
      </c>
    </row>
    <row r="818" spans="10:12" s="1" customFormat="1" x14ac:dyDescent="0.25">
      <c r="J818" s="47">
        <v>83.2</v>
      </c>
      <c r="K818" s="897">
        <f t="shared" si="38"/>
        <v>3.0000000000000027E-2</v>
      </c>
      <c r="L818" s="898">
        <f t="shared" si="39"/>
        <v>3.395999999999995</v>
      </c>
    </row>
    <row r="819" spans="10:12" s="1" customFormat="1" x14ac:dyDescent="0.25">
      <c r="J819" s="47">
        <v>83.3</v>
      </c>
      <c r="K819" s="897">
        <f t="shared" si="38"/>
        <v>3.0000000000000027E-2</v>
      </c>
      <c r="L819" s="898">
        <f t="shared" ref="L819:L850" si="40">L818+(K819)*(J819-J818)</f>
        <v>3.3989999999999947</v>
      </c>
    </row>
    <row r="820" spans="10:12" s="1" customFormat="1" x14ac:dyDescent="0.25">
      <c r="J820" s="47">
        <v>83.4</v>
      </c>
      <c r="K820" s="897">
        <f t="shared" si="38"/>
        <v>3.0000000000000027E-2</v>
      </c>
      <c r="L820" s="898">
        <f t="shared" si="40"/>
        <v>3.4019999999999948</v>
      </c>
    </row>
    <row r="821" spans="10:12" s="1" customFormat="1" x14ac:dyDescent="0.25">
      <c r="J821" s="47">
        <v>83.5</v>
      </c>
      <c r="K821" s="897">
        <f t="shared" si="38"/>
        <v>3.0000000000000027E-2</v>
      </c>
      <c r="L821" s="898">
        <f t="shared" si="40"/>
        <v>3.4049999999999945</v>
      </c>
    </row>
    <row r="822" spans="10:12" s="1" customFormat="1" x14ac:dyDescent="0.25">
      <c r="J822" s="47">
        <v>83.6</v>
      </c>
      <c r="K822" s="897">
        <f t="shared" si="38"/>
        <v>3.0000000000000027E-2</v>
      </c>
      <c r="L822" s="898">
        <f t="shared" si="40"/>
        <v>3.4079999999999941</v>
      </c>
    </row>
    <row r="823" spans="10:12" s="1" customFormat="1" x14ac:dyDescent="0.25">
      <c r="J823" s="47">
        <v>83.7</v>
      </c>
      <c r="K823" s="897">
        <f t="shared" si="38"/>
        <v>3.0000000000000027E-2</v>
      </c>
      <c r="L823" s="898">
        <f t="shared" si="40"/>
        <v>3.4109999999999943</v>
      </c>
    </row>
    <row r="824" spans="10:12" s="1" customFormat="1" x14ac:dyDescent="0.25">
      <c r="J824" s="47">
        <v>83.8</v>
      </c>
      <c r="K824" s="897">
        <f t="shared" si="38"/>
        <v>3.0000000000000027E-2</v>
      </c>
      <c r="L824" s="898">
        <f t="shared" si="40"/>
        <v>3.4139999999999939</v>
      </c>
    </row>
    <row r="825" spans="10:12" s="1" customFormat="1" x14ac:dyDescent="0.25">
      <c r="J825" s="47">
        <v>83.9</v>
      </c>
      <c r="K825" s="897">
        <f t="shared" si="38"/>
        <v>3.0000000000000027E-2</v>
      </c>
      <c r="L825" s="898">
        <f t="shared" si="40"/>
        <v>3.416999999999994</v>
      </c>
    </row>
    <row r="826" spans="10:12" s="1" customFormat="1" x14ac:dyDescent="0.25">
      <c r="J826" s="47">
        <v>84</v>
      </c>
      <c r="K826" s="897">
        <f t="shared" si="38"/>
        <v>3.0000000000000027E-2</v>
      </c>
      <c r="L826" s="898">
        <f t="shared" si="40"/>
        <v>3.4199999999999937</v>
      </c>
    </row>
    <row r="827" spans="10:12" s="1" customFormat="1" x14ac:dyDescent="0.25">
      <c r="J827" s="47">
        <v>84.1</v>
      </c>
      <c r="K827" s="897">
        <f t="shared" si="38"/>
        <v>3.0000000000000027E-2</v>
      </c>
      <c r="L827" s="898">
        <f t="shared" si="40"/>
        <v>3.4229999999999934</v>
      </c>
    </row>
    <row r="828" spans="10:12" s="1" customFormat="1" x14ac:dyDescent="0.25">
      <c r="J828" s="47">
        <v>84.2</v>
      </c>
      <c r="K828" s="897">
        <f t="shared" si="38"/>
        <v>3.0000000000000027E-2</v>
      </c>
      <c r="L828" s="898">
        <f t="shared" si="40"/>
        <v>3.4259999999999935</v>
      </c>
    </row>
    <row r="829" spans="10:12" s="1" customFormat="1" x14ac:dyDescent="0.25">
      <c r="J829" s="47">
        <v>84.3</v>
      </c>
      <c r="K829" s="897">
        <f t="shared" si="38"/>
        <v>3.0000000000000027E-2</v>
      </c>
      <c r="L829" s="898">
        <f t="shared" si="40"/>
        <v>3.4289999999999932</v>
      </c>
    </row>
    <row r="830" spans="10:12" s="1" customFormat="1" x14ac:dyDescent="0.25">
      <c r="J830" s="47">
        <v>84.4</v>
      </c>
      <c r="K830" s="897">
        <f t="shared" si="38"/>
        <v>3.0000000000000027E-2</v>
      </c>
      <c r="L830" s="898">
        <f t="shared" si="40"/>
        <v>3.4319999999999933</v>
      </c>
    </row>
    <row r="831" spans="10:12" s="1" customFormat="1" x14ac:dyDescent="0.25">
      <c r="J831" s="47">
        <v>84.5</v>
      </c>
      <c r="K831" s="897">
        <f t="shared" si="38"/>
        <v>3.0000000000000027E-2</v>
      </c>
      <c r="L831" s="898">
        <f t="shared" si="40"/>
        <v>3.4349999999999929</v>
      </c>
    </row>
    <row r="832" spans="10:12" s="1" customFormat="1" x14ac:dyDescent="0.25">
      <c r="J832" s="47">
        <v>84.6</v>
      </c>
      <c r="K832" s="897">
        <f t="shared" si="38"/>
        <v>3.0000000000000027E-2</v>
      </c>
      <c r="L832" s="898">
        <f t="shared" si="40"/>
        <v>3.4379999999999926</v>
      </c>
    </row>
    <row r="833" spans="10:12" s="1" customFormat="1" x14ac:dyDescent="0.25">
      <c r="J833" s="47">
        <v>84.7</v>
      </c>
      <c r="K833" s="897">
        <f t="shared" si="38"/>
        <v>3.0000000000000027E-2</v>
      </c>
      <c r="L833" s="898">
        <f t="shared" si="40"/>
        <v>3.4409999999999927</v>
      </c>
    </row>
    <row r="834" spans="10:12" s="1" customFormat="1" x14ac:dyDescent="0.25">
      <c r="J834" s="47">
        <v>84.8</v>
      </c>
      <c r="K834" s="897">
        <f t="shared" si="38"/>
        <v>3.0000000000000027E-2</v>
      </c>
      <c r="L834" s="898">
        <f t="shared" si="40"/>
        <v>3.4439999999999924</v>
      </c>
    </row>
    <row r="835" spans="10:12" s="1" customFormat="1" x14ac:dyDescent="0.25">
      <c r="J835" s="47">
        <v>84.9</v>
      </c>
      <c r="K835" s="897">
        <f t="shared" si="38"/>
        <v>3.0000000000000027E-2</v>
      </c>
      <c r="L835" s="898">
        <f t="shared" si="40"/>
        <v>3.4469999999999925</v>
      </c>
    </row>
    <row r="836" spans="10:12" s="1" customFormat="1" x14ac:dyDescent="0.25">
      <c r="J836" s="47">
        <v>85</v>
      </c>
      <c r="K836" s="897">
        <f t="shared" si="38"/>
        <v>3.0000000000000027E-2</v>
      </c>
      <c r="L836" s="898">
        <f t="shared" si="40"/>
        <v>3.4499999999999922</v>
      </c>
    </row>
    <row r="837" spans="10:12" s="1" customFormat="1" x14ac:dyDescent="0.25">
      <c r="J837" s="47">
        <v>85.1</v>
      </c>
      <c r="K837" s="897">
        <f t="shared" si="38"/>
        <v>3.0000000000000027E-2</v>
      </c>
      <c r="L837" s="898">
        <f t="shared" si="40"/>
        <v>3.4529999999999919</v>
      </c>
    </row>
    <row r="838" spans="10:12" s="1" customFormat="1" x14ac:dyDescent="0.25">
      <c r="J838" s="47">
        <v>85.2</v>
      </c>
      <c r="K838" s="897">
        <f t="shared" ref="K838:K901" si="41">LOOKUP(J838,$C$6:$C$17,$H$6:$H$17)</f>
        <v>3.0000000000000027E-2</v>
      </c>
      <c r="L838" s="898">
        <f t="shared" si="40"/>
        <v>3.455999999999992</v>
      </c>
    </row>
    <row r="839" spans="10:12" s="1" customFormat="1" x14ac:dyDescent="0.25">
      <c r="J839" s="47">
        <v>85.3</v>
      </c>
      <c r="K839" s="897">
        <f t="shared" si="41"/>
        <v>3.0000000000000027E-2</v>
      </c>
      <c r="L839" s="898">
        <f t="shared" si="40"/>
        <v>3.4589999999999916</v>
      </c>
    </row>
    <row r="840" spans="10:12" s="1" customFormat="1" x14ac:dyDescent="0.25">
      <c r="J840" s="47">
        <v>85.4</v>
      </c>
      <c r="K840" s="897">
        <f t="shared" si="41"/>
        <v>3.0000000000000027E-2</v>
      </c>
      <c r="L840" s="898">
        <f t="shared" si="40"/>
        <v>3.4619999999999918</v>
      </c>
    </row>
    <row r="841" spans="10:12" s="1" customFormat="1" x14ac:dyDescent="0.25">
      <c r="J841" s="47">
        <v>85.5</v>
      </c>
      <c r="K841" s="897">
        <f t="shared" si="41"/>
        <v>3.0000000000000027E-2</v>
      </c>
      <c r="L841" s="898">
        <f t="shared" si="40"/>
        <v>3.4649999999999914</v>
      </c>
    </row>
    <row r="842" spans="10:12" s="1" customFormat="1" x14ac:dyDescent="0.25">
      <c r="J842" s="47">
        <v>85.6</v>
      </c>
      <c r="K842" s="897">
        <f t="shared" si="41"/>
        <v>3.0000000000000027E-2</v>
      </c>
      <c r="L842" s="898">
        <f t="shared" si="40"/>
        <v>3.4679999999999911</v>
      </c>
    </row>
    <row r="843" spans="10:12" s="1" customFormat="1" x14ac:dyDescent="0.25">
      <c r="J843" s="47">
        <v>85.7</v>
      </c>
      <c r="K843" s="897">
        <f t="shared" si="41"/>
        <v>3.0000000000000027E-2</v>
      </c>
      <c r="L843" s="898">
        <f t="shared" si="40"/>
        <v>3.4709999999999912</v>
      </c>
    </row>
    <row r="844" spans="10:12" s="1" customFormat="1" x14ac:dyDescent="0.25">
      <c r="J844" s="47">
        <v>85.8</v>
      </c>
      <c r="K844" s="897">
        <f t="shared" si="41"/>
        <v>3.0000000000000027E-2</v>
      </c>
      <c r="L844" s="898">
        <f t="shared" si="40"/>
        <v>3.4739999999999909</v>
      </c>
    </row>
    <row r="845" spans="10:12" s="1" customFormat="1" x14ac:dyDescent="0.25">
      <c r="J845" s="47">
        <v>85.9</v>
      </c>
      <c r="K845" s="897">
        <f t="shared" si="41"/>
        <v>3.0000000000000027E-2</v>
      </c>
      <c r="L845" s="898">
        <f t="shared" si="40"/>
        <v>3.476999999999991</v>
      </c>
    </row>
    <row r="846" spans="10:12" s="1" customFormat="1" x14ac:dyDescent="0.25">
      <c r="J846" s="47">
        <v>86</v>
      </c>
      <c r="K846" s="897">
        <f t="shared" si="41"/>
        <v>3.0000000000000027E-2</v>
      </c>
      <c r="L846" s="898">
        <f t="shared" si="40"/>
        <v>3.4799999999999907</v>
      </c>
    </row>
    <row r="847" spans="10:12" s="1" customFormat="1" x14ac:dyDescent="0.25">
      <c r="J847" s="47">
        <v>86.1</v>
      </c>
      <c r="K847" s="897">
        <f t="shared" si="41"/>
        <v>3.0000000000000027E-2</v>
      </c>
      <c r="L847" s="898">
        <f t="shared" si="40"/>
        <v>3.4829999999999903</v>
      </c>
    </row>
    <row r="848" spans="10:12" s="1" customFormat="1" x14ac:dyDescent="0.25">
      <c r="J848" s="47">
        <v>86.2</v>
      </c>
      <c r="K848" s="897">
        <f t="shared" si="41"/>
        <v>3.0000000000000027E-2</v>
      </c>
      <c r="L848" s="898">
        <f t="shared" si="40"/>
        <v>3.4859999999999904</v>
      </c>
    </row>
    <row r="849" spans="10:12" s="1" customFormat="1" x14ac:dyDescent="0.25">
      <c r="J849" s="47">
        <v>86.3</v>
      </c>
      <c r="K849" s="897">
        <f t="shared" si="41"/>
        <v>3.0000000000000027E-2</v>
      </c>
      <c r="L849" s="898">
        <f t="shared" si="40"/>
        <v>3.4889999999999901</v>
      </c>
    </row>
    <row r="850" spans="10:12" s="1" customFormat="1" x14ac:dyDescent="0.25">
      <c r="J850" s="47">
        <v>86.4</v>
      </c>
      <c r="K850" s="897">
        <f t="shared" si="41"/>
        <v>3.0000000000000027E-2</v>
      </c>
      <c r="L850" s="898">
        <f t="shared" si="40"/>
        <v>3.4919999999999902</v>
      </c>
    </row>
    <row r="851" spans="10:12" s="1" customFormat="1" x14ac:dyDescent="0.25">
      <c r="J851" s="47">
        <v>86.5</v>
      </c>
      <c r="K851" s="897">
        <f t="shared" si="41"/>
        <v>3.0000000000000027E-2</v>
      </c>
      <c r="L851" s="898">
        <f t="shared" ref="L851:L882" si="42">L850+(K851)*(J851-J850)</f>
        <v>3.4949999999999899</v>
      </c>
    </row>
    <row r="852" spans="10:12" s="1" customFormat="1" x14ac:dyDescent="0.25">
      <c r="J852" s="47">
        <v>86.6</v>
      </c>
      <c r="K852" s="897">
        <f t="shared" si="41"/>
        <v>3.0000000000000027E-2</v>
      </c>
      <c r="L852" s="898">
        <f t="shared" si="42"/>
        <v>3.4979999999999896</v>
      </c>
    </row>
    <row r="853" spans="10:12" s="1" customFormat="1" x14ac:dyDescent="0.25">
      <c r="J853" s="47">
        <v>86.7</v>
      </c>
      <c r="K853" s="897">
        <f t="shared" si="41"/>
        <v>3.0000000000000027E-2</v>
      </c>
      <c r="L853" s="898">
        <f t="shared" si="42"/>
        <v>3.5009999999999897</v>
      </c>
    </row>
    <row r="854" spans="10:12" s="1" customFormat="1" x14ac:dyDescent="0.25">
      <c r="J854" s="47">
        <v>86.8</v>
      </c>
      <c r="K854" s="897">
        <f t="shared" si="41"/>
        <v>3.0000000000000027E-2</v>
      </c>
      <c r="L854" s="898">
        <f t="shared" si="42"/>
        <v>3.5039999999999893</v>
      </c>
    </row>
    <row r="855" spans="10:12" s="1" customFormat="1" x14ac:dyDescent="0.25">
      <c r="J855" s="47">
        <v>86.9</v>
      </c>
      <c r="K855" s="897">
        <f t="shared" si="41"/>
        <v>3.0000000000000027E-2</v>
      </c>
      <c r="L855" s="898">
        <f t="shared" si="42"/>
        <v>3.5069999999999895</v>
      </c>
    </row>
    <row r="856" spans="10:12" s="1" customFormat="1" x14ac:dyDescent="0.25">
      <c r="J856" s="47">
        <v>87</v>
      </c>
      <c r="K856" s="897">
        <f t="shared" si="41"/>
        <v>3.0000000000000027E-2</v>
      </c>
      <c r="L856" s="898">
        <f t="shared" si="42"/>
        <v>3.5099999999999891</v>
      </c>
    </row>
    <row r="857" spans="10:12" s="1" customFormat="1" x14ac:dyDescent="0.25">
      <c r="J857" s="47">
        <v>87.1</v>
      </c>
      <c r="K857" s="897">
        <f t="shared" si="41"/>
        <v>3.0000000000000027E-2</v>
      </c>
      <c r="L857" s="898">
        <f t="shared" si="42"/>
        <v>3.5129999999999888</v>
      </c>
    </row>
    <row r="858" spans="10:12" s="1" customFormat="1" x14ac:dyDescent="0.25">
      <c r="J858" s="47">
        <v>87.2</v>
      </c>
      <c r="K858" s="897">
        <f t="shared" si="41"/>
        <v>3.0000000000000027E-2</v>
      </c>
      <c r="L858" s="898">
        <f t="shared" si="42"/>
        <v>3.5159999999999889</v>
      </c>
    </row>
    <row r="859" spans="10:12" s="1" customFormat="1" x14ac:dyDescent="0.25">
      <c r="J859" s="47">
        <v>87.3</v>
      </c>
      <c r="K859" s="897">
        <f t="shared" si="41"/>
        <v>3.0000000000000027E-2</v>
      </c>
      <c r="L859" s="898">
        <f t="shared" si="42"/>
        <v>3.5189999999999886</v>
      </c>
    </row>
    <row r="860" spans="10:12" s="1" customFormat="1" x14ac:dyDescent="0.25">
      <c r="J860" s="47">
        <v>87.4</v>
      </c>
      <c r="K860" s="897">
        <f t="shared" si="41"/>
        <v>3.0000000000000027E-2</v>
      </c>
      <c r="L860" s="898">
        <f t="shared" si="42"/>
        <v>3.5219999999999887</v>
      </c>
    </row>
    <row r="861" spans="10:12" s="1" customFormat="1" x14ac:dyDescent="0.25">
      <c r="J861" s="47">
        <v>87.5</v>
      </c>
      <c r="K861" s="897">
        <f t="shared" si="41"/>
        <v>3.0000000000000027E-2</v>
      </c>
      <c r="L861" s="898">
        <f t="shared" si="42"/>
        <v>3.5249999999999884</v>
      </c>
    </row>
    <row r="862" spans="10:12" s="1" customFormat="1" x14ac:dyDescent="0.25">
      <c r="J862" s="47">
        <v>87.6</v>
      </c>
      <c r="K862" s="897">
        <f t="shared" si="41"/>
        <v>3.0000000000000027E-2</v>
      </c>
      <c r="L862" s="898">
        <f t="shared" si="42"/>
        <v>3.527999999999988</v>
      </c>
    </row>
    <row r="863" spans="10:12" s="1" customFormat="1" x14ac:dyDescent="0.25">
      <c r="J863" s="47">
        <v>87.7</v>
      </c>
      <c r="K863" s="897">
        <f t="shared" si="41"/>
        <v>3.0000000000000027E-2</v>
      </c>
      <c r="L863" s="898">
        <f t="shared" si="42"/>
        <v>3.5309999999999881</v>
      </c>
    </row>
    <row r="864" spans="10:12" s="1" customFormat="1" x14ac:dyDescent="0.25">
      <c r="J864" s="47">
        <v>87.8</v>
      </c>
      <c r="K864" s="897">
        <f t="shared" si="41"/>
        <v>3.0000000000000027E-2</v>
      </c>
      <c r="L864" s="898">
        <f t="shared" si="42"/>
        <v>3.5339999999999878</v>
      </c>
    </row>
    <row r="865" spans="10:12" s="1" customFormat="1" x14ac:dyDescent="0.25">
      <c r="J865" s="47">
        <v>87.9</v>
      </c>
      <c r="K865" s="897">
        <f t="shared" si="41"/>
        <v>3.0000000000000027E-2</v>
      </c>
      <c r="L865" s="898">
        <f t="shared" si="42"/>
        <v>3.5369999999999879</v>
      </c>
    </row>
    <row r="866" spans="10:12" s="1" customFormat="1" x14ac:dyDescent="0.25">
      <c r="J866" s="47">
        <v>88</v>
      </c>
      <c r="K866" s="897">
        <f t="shared" si="41"/>
        <v>3.0000000000000027E-2</v>
      </c>
      <c r="L866" s="898">
        <f t="shared" si="42"/>
        <v>3.5399999999999876</v>
      </c>
    </row>
    <row r="867" spans="10:12" s="1" customFormat="1" x14ac:dyDescent="0.25">
      <c r="J867" s="47">
        <v>88.1</v>
      </c>
      <c r="K867" s="897">
        <f t="shared" si="41"/>
        <v>3.0000000000000027E-2</v>
      </c>
      <c r="L867" s="898">
        <f t="shared" si="42"/>
        <v>3.5429999999999873</v>
      </c>
    </row>
    <row r="868" spans="10:12" s="1" customFormat="1" x14ac:dyDescent="0.25">
      <c r="J868" s="47">
        <v>88.2</v>
      </c>
      <c r="K868" s="897">
        <f t="shared" si="41"/>
        <v>3.0000000000000027E-2</v>
      </c>
      <c r="L868" s="898">
        <f t="shared" si="42"/>
        <v>3.5459999999999874</v>
      </c>
    </row>
    <row r="869" spans="10:12" s="1" customFormat="1" x14ac:dyDescent="0.25">
      <c r="J869" s="47">
        <v>88.3</v>
      </c>
      <c r="K869" s="897">
        <f t="shared" si="41"/>
        <v>3.0000000000000027E-2</v>
      </c>
      <c r="L869" s="898">
        <f t="shared" si="42"/>
        <v>3.5489999999999871</v>
      </c>
    </row>
    <row r="870" spans="10:12" s="1" customFormat="1" x14ac:dyDescent="0.25">
      <c r="J870" s="47">
        <v>88.4</v>
      </c>
      <c r="K870" s="897">
        <f t="shared" si="41"/>
        <v>3.0000000000000027E-2</v>
      </c>
      <c r="L870" s="898">
        <f t="shared" si="42"/>
        <v>3.5519999999999872</v>
      </c>
    </row>
    <row r="871" spans="10:12" s="1" customFormat="1" x14ac:dyDescent="0.25">
      <c r="J871" s="47">
        <v>88.5</v>
      </c>
      <c r="K871" s="897">
        <f t="shared" si="41"/>
        <v>3.0000000000000027E-2</v>
      </c>
      <c r="L871" s="898">
        <f t="shared" si="42"/>
        <v>3.5549999999999868</v>
      </c>
    </row>
    <row r="872" spans="10:12" s="1" customFormat="1" x14ac:dyDescent="0.25">
      <c r="J872" s="47">
        <v>88.6</v>
      </c>
      <c r="K872" s="897">
        <f t="shared" si="41"/>
        <v>3.0000000000000027E-2</v>
      </c>
      <c r="L872" s="898">
        <f t="shared" si="42"/>
        <v>3.5579999999999865</v>
      </c>
    </row>
    <row r="873" spans="10:12" s="1" customFormat="1" x14ac:dyDescent="0.25">
      <c r="J873" s="47">
        <v>88.7</v>
      </c>
      <c r="K873" s="897">
        <f t="shared" si="41"/>
        <v>3.0000000000000027E-2</v>
      </c>
      <c r="L873" s="898">
        <f t="shared" si="42"/>
        <v>3.5609999999999866</v>
      </c>
    </row>
    <row r="874" spans="10:12" s="1" customFormat="1" x14ac:dyDescent="0.25">
      <c r="J874" s="47">
        <v>88.8</v>
      </c>
      <c r="K874" s="897">
        <f t="shared" si="41"/>
        <v>3.0000000000000027E-2</v>
      </c>
      <c r="L874" s="898">
        <f t="shared" si="42"/>
        <v>3.5639999999999863</v>
      </c>
    </row>
    <row r="875" spans="10:12" s="1" customFormat="1" x14ac:dyDescent="0.25">
      <c r="J875" s="47">
        <v>88.9</v>
      </c>
      <c r="K875" s="897">
        <f t="shared" si="41"/>
        <v>3.0000000000000027E-2</v>
      </c>
      <c r="L875" s="898">
        <f t="shared" si="42"/>
        <v>3.5669999999999864</v>
      </c>
    </row>
    <row r="876" spans="10:12" s="1" customFormat="1" x14ac:dyDescent="0.25">
      <c r="J876" s="47">
        <v>89</v>
      </c>
      <c r="K876" s="897">
        <f t="shared" si="41"/>
        <v>3.0000000000000027E-2</v>
      </c>
      <c r="L876" s="898">
        <f t="shared" si="42"/>
        <v>3.5699999999999861</v>
      </c>
    </row>
    <row r="877" spans="10:12" s="1" customFormat="1" x14ac:dyDescent="0.25">
      <c r="J877" s="47">
        <v>89.1</v>
      </c>
      <c r="K877" s="897">
        <f t="shared" si="41"/>
        <v>3.0000000000000027E-2</v>
      </c>
      <c r="L877" s="898">
        <f t="shared" si="42"/>
        <v>3.5729999999999857</v>
      </c>
    </row>
    <row r="878" spans="10:12" s="1" customFormat="1" x14ac:dyDescent="0.25">
      <c r="J878" s="47">
        <v>89.2</v>
      </c>
      <c r="K878" s="897">
        <f t="shared" si="41"/>
        <v>3.0000000000000027E-2</v>
      </c>
      <c r="L878" s="898">
        <f t="shared" si="42"/>
        <v>3.5759999999999859</v>
      </c>
    </row>
    <row r="879" spans="10:12" s="1" customFormat="1" x14ac:dyDescent="0.25">
      <c r="J879" s="47">
        <v>89.3</v>
      </c>
      <c r="K879" s="897">
        <f t="shared" si="41"/>
        <v>3.0000000000000027E-2</v>
      </c>
      <c r="L879" s="898">
        <f t="shared" si="42"/>
        <v>3.5789999999999855</v>
      </c>
    </row>
    <row r="880" spans="10:12" s="1" customFormat="1" x14ac:dyDescent="0.25">
      <c r="J880" s="47">
        <v>89.4</v>
      </c>
      <c r="K880" s="897">
        <f t="shared" si="41"/>
        <v>3.0000000000000027E-2</v>
      </c>
      <c r="L880" s="898">
        <f t="shared" si="42"/>
        <v>3.5819999999999856</v>
      </c>
    </row>
    <row r="881" spans="10:12" s="1" customFormat="1" x14ac:dyDescent="0.25">
      <c r="J881" s="47">
        <v>89.5</v>
      </c>
      <c r="K881" s="897">
        <f t="shared" si="41"/>
        <v>3.0000000000000027E-2</v>
      </c>
      <c r="L881" s="898">
        <f t="shared" si="42"/>
        <v>3.5849999999999853</v>
      </c>
    </row>
    <row r="882" spans="10:12" s="1" customFormat="1" x14ac:dyDescent="0.25">
      <c r="J882" s="47">
        <v>89.6</v>
      </c>
      <c r="K882" s="897">
        <f t="shared" si="41"/>
        <v>3.0000000000000027E-2</v>
      </c>
      <c r="L882" s="898">
        <f t="shared" si="42"/>
        <v>3.587999999999985</v>
      </c>
    </row>
    <row r="883" spans="10:12" s="1" customFormat="1" x14ac:dyDescent="0.25">
      <c r="J883" s="47">
        <v>89.7</v>
      </c>
      <c r="K883" s="897">
        <f t="shared" si="41"/>
        <v>3.0000000000000027E-2</v>
      </c>
      <c r="L883" s="898">
        <f>L882+(K883)*(J883-J882)</f>
        <v>3.5909999999999851</v>
      </c>
    </row>
    <row r="884" spans="10:12" s="1" customFormat="1" x14ac:dyDescent="0.25">
      <c r="J884" s="47">
        <v>89.8</v>
      </c>
      <c r="K884" s="897">
        <f t="shared" si="41"/>
        <v>3.0000000000000027E-2</v>
      </c>
      <c r="L884" s="898">
        <f>L883+(K884)*(J884-J883)</f>
        <v>3.5939999999999848</v>
      </c>
    </row>
    <row r="885" spans="10:12" s="1" customFormat="1" x14ac:dyDescent="0.25">
      <c r="J885" s="47">
        <v>89.9</v>
      </c>
      <c r="K885" s="897">
        <f t="shared" si="41"/>
        <v>3.0000000000000027E-2</v>
      </c>
      <c r="L885" s="898">
        <f>L884+(K885)*(J885-J884)</f>
        <v>3.5969999999999849</v>
      </c>
    </row>
    <row r="886" spans="10:12" s="1" customFormat="1" x14ac:dyDescent="0.25">
      <c r="J886" s="47">
        <v>90</v>
      </c>
      <c r="K886" s="897">
        <f t="shared" si="41"/>
        <v>3.9999999999999994E-2</v>
      </c>
      <c r="L886" s="898">
        <v>3.6</v>
      </c>
    </row>
    <row r="887" spans="10:12" s="1" customFormat="1" x14ac:dyDescent="0.25">
      <c r="J887" s="47">
        <v>90.1</v>
      </c>
      <c r="K887" s="897">
        <f t="shared" si="41"/>
        <v>3.9999999999999994E-2</v>
      </c>
      <c r="L887" s="898">
        <f t="shared" ref="L887:L918" si="43">L886+(K887)*(J887-J886)</f>
        <v>3.6039999999999996</v>
      </c>
    </row>
    <row r="888" spans="10:12" s="1" customFormat="1" x14ac:dyDescent="0.25">
      <c r="J888" s="47">
        <v>90.2</v>
      </c>
      <c r="K888" s="897">
        <f t="shared" si="41"/>
        <v>3.9999999999999994E-2</v>
      </c>
      <c r="L888" s="898">
        <f t="shared" si="43"/>
        <v>3.6080000000000001</v>
      </c>
    </row>
    <row r="889" spans="10:12" s="1" customFormat="1" x14ac:dyDescent="0.25">
      <c r="J889" s="47">
        <v>90.3</v>
      </c>
      <c r="K889" s="897">
        <f t="shared" si="41"/>
        <v>3.9999999999999994E-2</v>
      </c>
      <c r="L889" s="898">
        <f t="shared" si="43"/>
        <v>3.6119999999999997</v>
      </c>
    </row>
    <row r="890" spans="10:12" s="1" customFormat="1" x14ac:dyDescent="0.25">
      <c r="J890" s="47">
        <v>90.4</v>
      </c>
      <c r="K890" s="897">
        <f t="shared" si="41"/>
        <v>3.9999999999999994E-2</v>
      </c>
      <c r="L890" s="898">
        <f t="shared" si="43"/>
        <v>3.6160000000000001</v>
      </c>
    </row>
    <row r="891" spans="10:12" s="1" customFormat="1" x14ac:dyDescent="0.25">
      <c r="J891" s="47">
        <v>90.5</v>
      </c>
      <c r="K891" s="897">
        <f t="shared" si="41"/>
        <v>3.9999999999999994E-2</v>
      </c>
      <c r="L891" s="898">
        <f t="shared" si="43"/>
        <v>3.6199999999999997</v>
      </c>
    </row>
    <row r="892" spans="10:12" s="1" customFormat="1" x14ac:dyDescent="0.25">
      <c r="J892" s="47">
        <v>90.6</v>
      </c>
      <c r="K892" s="897">
        <f t="shared" si="41"/>
        <v>3.9999999999999994E-2</v>
      </c>
      <c r="L892" s="898">
        <f t="shared" si="43"/>
        <v>3.6239999999999992</v>
      </c>
    </row>
    <row r="893" spans="10:12" s="1" customFormat="1" x14ac:dyDescent="0.25">
      <c r="J893" s="47">
        <v>90.7</v>
      </c>
      <c r="K893" s="897">
        <f t="shared" si="41"/>
        <v>3.9999999999999994E-2</v>
      </c>
      <c r="L893" s="898">
        <f t="shared" si="43"/>
        <v>3.6279999999999997</v>
      </c>
    </row>
    <row r="894" spans="10:12" s="1" customFormat="1" x14ac:dyDescent="0.25">
      <c r="J894" s="47">
        <v>90.8</v>
      </c>
      <c r="K894" s="897">
        <f t="shared" si="41"/>
        <v>3.9999999999999994E-2</v>
      </c>
      <c r="L894" s="898">
        <f t="shared" si="43"/>
        <v>3.6319999999999992</v>
      </c>
    </row>
    <row r="895" spans="10:12" s="1" customFormat="1" x14ac:dyDescent="0.25">
      <c r="J895" s="47">
        <v>90.9</v>
      </c>
      <c r="K895" s="897">
        <f t="shared" si="41"/>
        <v>3.9999999999999994E-2</v>
      </c>
      <c r="L895" s="898">
        <f t="shared" si="43"/>
        <v>3.6359999999999997</v>
      </c>
    </row>
    <row r="896" spans="10:12" s="1" customFormat="1" x14ac:dyDescent="0.25">
      <c r="J896" s="47">
        <v>91</v>
      </c>
      <c r="K896" s="897">
        <f t="shared" si="41"/>
        <v>3.9999999999999994E-2</v>
      </c>
      <c r="L896" s="898">
        <f t="shared" si="43"/>
        <v>3.6399999999999992</v>
      </c>
    </row>
    <row r="897" spans="10:12" s="1" customFormat="1" x14ac:dyDescent="0.25">
      <c r="J897" s="47">
        <v>91.1</v>
      </c>
      <c r="K897" s="897">
        <f t="shared" si="41"/>
        <v>3.9999999999999994E-2</v>
      </c>
      <c r="L897" s="898">
        <f t="shared" si="43"/>
        <v>3.6439999999999988</v>
      </c>
    </row>
    <row r="898" spans="10:12" s="1" customFormat="1" x14ac:dyDescent="0.25">
      <c r="J898" s="47">
        <v>91.2</v>
      </c>
      <c r="K898" s="897">
        <f t="shared" si="41"/>
        <v>3.9999999999999994E-2</v>
      </c>
      <c r="L898" s="898">
        <f t="shared" si="43"/>
        <v>3.6479999999999992</v>
      </c>
    </row>
    <row r="899" spans="10:12" s="1" customFormat="1" x14ac:dyDescent="0.25">
      <c r="J899" s="47">
        <v>91.3</v>
      </c>
      <c r="K899" s="897">
        <f t="shared" si="41"/>
        <v>3.9999999999999994E-2</v>
      </c>
      <c r="L899" s="898">
        <f t="shared" si="43"/>
        <v>3.6519999999999988</v>
      </c>
    </row>
    <row r="900" spans="10:12" s="1" customFormat="1" x14ac:dyDescent="0.25">
      <c r="J900" s="47">
        <v>91.4</v>
      </c>
      <c r="K900" s="897">
        <f t="shared" si="41"/>
        <v>3.9999999999999994E-2</v>
      </c>
      <c r="L900" s="898">
        <f t="shared" si="43"/>
        <v>3.6559999999999993</v>
      </c>
    </row>
    <row r="901" spans="10:12" s="1" customFormat="1" x14ac:dyDescent="0.25">
      <c r="J901" s="47">
        <v>91.5</v>
      </c>
      <c r="K901" s="897">
        <f t="shared" si="41"/>
        <v>3.9999999999999994E-2</v>
      </c>
      <c r="L901" s="898">
        <f t="shared" si="43"/>
        <v>3.6599999999999988</v>
      </c>
    </row>
    <row r="902" spans="10:12" s="1" customFormat="1" x14ac:dyDescent="0.25">
      <c r="J902" s="47">
        <v>91.6</v>
      </c>
      <c r="K902" s="897">
        <f t="shared" ref="K902:K965" si="44">LOOKUP(J902,$C$6:$C$17,$H$6:$H$17)</f>
        <v>3.9999999999999994E-2</v>
      </c>
      <c r="L902" s="898">
        <f t="shared" si="43"/>
        <v>3.6639999999999984</v>
      </c>
    </row>
    <row r="903" spans="10:12" s="1" customFormat="1" x14ac:dyDescent="0.25">
      <c r="J903" s="47">
        <v>91.7</v>
      </c>
      <c r="K903" s="897">
        <f t="shared" si="44"/>
        <v>3.9999999999999994E-2</v>
      </c>
      <c r="L903" s="898">
        <f t="shared" si="43"/>
        <v>3.6679999999999988</v>
      </c>
    </row>
    <row r="904" spans="10:12" s="1" customFormat="1" x14ac:dyDescent="0.25">
      <c r="J904" s="47">
        <v>91.8</v>
      </c>
      <c r="K904" s="897">
        <f t="shared" si="44"/>
        <v>3.9999999999999994E-2</v>
      </c>
      <c r="L904" s="898">
        <f t="shared" si="43"/>
        <v>3.6719999999999984</v>
      </c>
    </row>
    <row r="905" spans="10:12" s="1" customFormat="1" x14ac:dyDescent="0.25">
      <c r="J905" s="47">
        <v>91.9</v>
      </c>
      <c r="K905" s="897">
        <f t="shared" si="44"/>
        <v>3.9999999999999994E-2</v>
      </c>
      <c r="L905" s="898">
        <f t="shared" si="43"/>
        <v>3.6759999999999988</v>
      </c>
    </row>
    <row r="906" spans="10:12" s="1" customFormat="1" x14ac:dyDescent="0.25">
      <c r="J906" s="47">
        <v>92</v>
      </c>
      <c r="K906" s="897">
        <f t="shared" si="44"/>
        <v>3.9999999999999994E-2</v>
      </c>
      <c r="L906" s="898">
        <f t="shared" si="43"/>
        <v>3.6799999999999984</v>
      </c>
    </row>
    <row r="907" spans="10:12" s="1" customFormat="1" x14ac:dyDescent="0.25">
      <c r="J907" s="47">
        <v>92.1</v>
      </c>
      <c r="K907" s="897">
        <f t="shared" si="44"/>
        <v>3.9999999999999994E-2</v>
      </c>
      <c r="L907" s="898">
        <f t="shared" si="43"/>
        <v>3.6839999999999979</v>
      </c>
    </row>
    <row r="908" spans="10:12" s="1" customFormat="1" x14ac:dyDescent="0.25">
      <c r="J908" s="47">
        <v>92.2</v>
      </c>
      <c r="K908" s="897">
        <f t="shared" si="44"/>
        <v>3.9999999999999994E-2</v>
      </c>
      <c r="L908" s="898">
        <f t="shared" si="43"/>
        <v>3.6879999999999984</v>
      </c>
    </row>
    <row r="909" spans="10:12" s="1" customFormat="1" x14ac:dyDescent="0.25">
      <c r="J909" s="47">
        <v>92.3</v>
      </c>
      <c r="K909" s="897">
        <f t="shared" si="44"/>
        <v>3.9999999999999994E-2</v>
      </c>
      <c r="L909" s="898">
        <f t="shared" si="43"/>
        <v>3.691999999999998</v>
      </c>
    </row>
    <row r="910" spans="10:12" s="1" customFormat="1" x14ac:dyDescent="0.25">
      <c r="J910" s="47">
        <v>92.4</v>
      </c>
      <c r="K910" s="897">
        <f t="shared" si="44"/>
        <v>3.9999999999999994E-2</v>
      </c>
      <c r="L910" s="898">
        <f t="shared" si="43"/>
        <v>3.6959999999999984</v>
      </c>
    </row>
    <row r="911" spans="10:12" s="1" customFormat="1" x14ac:dyDescent="0.25">
      <c r="J911" s="47">
        <v>92.5</v>
      </c>
      <c r="K911" s="897">
        <f t="shared" si="44"/>
        <v>3.9999999999999994E-2</v>
      </c>
      <c r="L911" s="898">
        <f t="shared" si="43"/>
        <v>3.699999999999998</v>
      </c>
    </row>
    <row r="912" spans="10:12" s="1" customFormat="1" x14ac:dyDescent="0.25">
      <c r="J912" s="47">
        <v>92.6</v>
      </c>
      <c r="K912" s="897">
        <f t="shared" si="44"/>
        <v>3.9999999999999994E-2</v>
      </c>
      <c r="L912" s="898">
        <f t="shared" si="43"/>
        <v>3.7039999999999975</v>
      </c>
    </row>
    <row r="913" spans="10:12" s="1" customFormat="1" x14ac:dyDescent="0.25">
      <c r="J913" s="47">
        <v>92.7</v>
      </c>
      <c r="K913" s="897">
        <f t="shared" si="44"/>
        <v>3.9999999999999994E-2</v>
      </c>
      <c r="L913" s="898">
        <f t="shared" si="43"/>
        <v>3.707999999999998</v>
      </c>
    </row>
    <row r="914" spans="10:12" s="1" customFormat="1" x14ac:dyDescent="0.25">
      <c r="J914" s="47">
        <v>92.8</v>
      </c>
      <c r="K914" s="897">
        <f t="shared" si="44"/>
        <v>3.9999999999999994E-2</v>
      </c>
      <c r="L914" s="898">
        <f t="shared" si="43"/>
        <v>3.7119999999999975</v>
      </c>
    </row>
    <row r="915" spans="10:12" s="1" customFormat="1" x14ac:dyDescent="0.25">
      <c r="J915" s="47">
        <v>92.9</v>
      </c>
      <c r="K915" s="897">
        <f t="shared" si="44"/>
        <v>3.9999999999999994E-2</v>
      </c>
      <c r="L915" s="898">
        <f t="shared" si="43"/>
        <v>3.715999999999998</v>
      </c>
    </row>
    <row r="916" spans="10:12" s="1" customFormat="1" x14ac:dyDescent="0.25">
      <c r="J916" s="47">
        <v>93</v>
      </c>
      <c r="K916" s="897">
        <f t="shared" si="44"/>
        <v>3.9999999999999994E-2</v>
      </c>
      <c r="L916" s="898">
        <f t="shared" si="43"/>
        <v>3.7199999999999975</v>
      </c>
    </row>
    <row r="917" spans="10:12" s="1" customFormat="1" x14ac:dyDescent="0.25">
      <c r="J917" s="47">
        <v>93.1</v>
      </c>
      <c r="K917" s="897">
        <f t="shared" si="44"/>
        <v>3.9999999999999994E-2</v>
      </c>
      <c r="L917" s="898">
        <f t="shared" si="43"/>
        <v>3.7239999999999971</v>
      </c>
    </row>
    <row r="918" spans="10:12" s="1" customFormat="1" x14ac:dyDescent="0.25">
      <c r="J918" s="47">
        <v>93.2</v>
      </c>
      <c r="K918" s="897">
        <f t="shared" si="44"/>
        <v>3.9999999999999994E-2</v>
      </c>
      <c r="L918" s="898">
        <f t="shared" si="43"/>
        <v>3.7279999999999975</v>
      </c>
    </row>
    <row r="919" spans="10:12" s="1" customFormat="1" x14ac:dyDescent="0.25">
      <c r="J919" s="47">
        <v>93.3</v>
      </c>
      <c r="K919" s="897">
        <f t="shared" si="44"/>
        <v>3.9999999999999994E-2</v>
      </c>
      <c r="L919" s="898">
        <f t="shared" ref="L919:L950" si="45">L918+(K919)*(J919-J918)</f>
        <v>3.7319999999999971</v>
      </c>
    </row>
    <row r="920" spans="10:12" s="1" customFormat="1" x14ac:dyDescent="0.25">
      <c r="J920" s="47">
        <v>93.4</v>
      </c>
      <c r="K920" s="897">
        <f t="shared" si="44"/>
        <v>3.9999999999999994E-2</v>
      </c>
      <c r="L920" s="898">
        <f t="shared" si="45"/>
        <v>3.7359999999999975</v>
      </c>
    </row>
    <row r="921" spans="10:12" s="1" customFormat="1" x14ac:dyDescent="0.25">
      <c r="J921" s="47">
        <v>93.5</v>
      </c>
      <c r="K921" s="897">
        <f t="shared" si="44"/>
        <v>3.9999999999999994E-2</v>
      </c>
      <c r="L921" s="898">
        <f t="shared" si="45"/>
        <v>3.7399999999999971</v>
      </c>
    </row>
    <row r="922" spans="10:12" s="1" customFormat="1" x14ac:dyDescent="0.25">
      <c r="J922" s="47">
        <v>93.6</v>
      </c>
      <c r="K922" s="897">
        <f t="shared" si="44"/>
        <v>3.9999999999999994E-2</v>
      </c>
      <c r="L922" s="898">
        <f t="shared" si="45"/>
        <v>3.7439999999999967</v>
      </c>
    </row>
    <row r="923" spans="10:12" s="1" customFormat="1" x14ac:dyDescent="0.25">
      <c r="J923" s="47">
        <v>93.7</v>
      </c>
      <c r="K923" s="897">
        <f t="shared" si="44"/>
        <v>3.9999999999999994E-2</v>
      </c>
      <c r="L923" s="898">
        <f t="shared" si="45"/>
        <v>3.7479999999999971</v>
      </c>
    </row>
    <row r="924" spans="10:12" s="1" customFormat="1" x14ac:dyDescent="0.25">
      <c r="J924" s="47">
        <v>93.8</v>
      </c>
      <c r="K924" s="897">
        <f t="shared" si="44"/>
        <v>3.9999999999999994E-2</v>
      </c>
      <c r="L924" s="898">
        <f t="shared" si="45"/>
        <v>3.7519999999999967</v>
      </c>
    </row>
    <row r="925" spans="10:12" s="1" customFormat="1" x14ac:dyDescent="0.25">
      <c r="J925" s="47">
        <v>93.9</v>
      </c>
      <c r="K925" s="897">
        <f t="shared" si="44"/>
        <v>3.9999999999999994E-2</v>
      </c>
      <c r="L925" s="898">
        <f t="shared" si="45"/>
        <v>3.7559999999999971</v>
      </c>
    </row>
    <row r="926" spans="10:12" s="1" customFormat="1" x14ac:dyDescent="0.25">
      <c r="J926" s="47">
        <v>94</v>
      </c>
      <c r="K926" s="897">
        <f t="shared" si="44"/>
        <v>3.9999999999999994E-2</v>
      </c>
      <c r="L926" s="898">
        <f t="shared" si="45"/>
        <v>3.7599999999999967</v>
      </c>
    </row>
    <row r="927" spans="10:12" s="1" customFormat="1" x14ac:dyDescent="0.25">
      <c r="J927" s="47">
        <v>94.1</v>
      </c>
      <c r="K927" s="897">
        <f t="shared" si="44"/>
        <v>3.9999999999999994E-2</v>
      </c>
      <c r="L927" s="898">
        <f t="shared" si="45"/>
        <v>3.7639999999999962</v>
      </c>
    </row>
    <row r="928" spans="10:12" s="1" customFormat="1" x14ac:dyDescent="0.25">
      <c r="J928" s="47">
        <v>94.2</v>
      </c>
      <c r="K928" s="897">
        <f t="shared" si="44"/>
        <v>3.9999999999999994E-2</v>
      </c>
      <c r="L928" s="898">
        <f t="shared" si="45"/>
        <v>3.7679999999999967</v>
      </c>
    </row>
    <row r="929" spans="10:12" s="1" customFormat="1" x14ac:dyDescent="0.25">
      <c r="J929" s="47">
        <v>94.3</v>
      </c>
      <c r="K929" s="897">
        <f t="shared" si="44"/>
        <v>3.9999999999999994E-2</v>
      </c>
      <c r="L929" s="898">
        <f t="shared" si="45"/>
        <v>3.7719999999999962</v>
      </c>
    </row>
    <row r="930" spans="10:12" s="1" customFormat="1" x14ac:dyDescent="0.25">
      <c r="J930" s="47">
        <v>94.4</v>
      </c>
      <c r="K930" s="897">
        <f t="shared" si="44"/>
        <v>3.9999999999999994E-2</v>
      </c>
      <c r="L930" s="898">
        <f t="shared" si="45"/>
        <v>3.7759999999999967</v>
      </c>
    </row>
    <row r="931" spans="10:12" s="1" customFormat="1" x14ac:dyDescent="0.25">
      <c r="J931" s="47">
        <v>94.5</v>
      </c>
      <c r="K931" s="897">
        <f t="shared" si="44"/>
        <v>3.9999999999999994E-2</v>
      </c>
      <c r="L931" s="898">
        <f t="shared" si="45"/>
        <v>3.7799999999999963</v>
      </c>
    </row>
    <row r="932" spans="10:12" s="1" customFormat="1" x14ac:dyDescent="0.25">
      <c r="J932" s="47">
        <v>94.6</v>
      </c>
      <c r="K932" s="897">
        <f t="shared" si="44"/>
        <v>3.9999999999999994E-2</v>
      </c>
      <c r="L932" s="898">
        <f t="shared" si="45"/>
        <v>3.7839999999999958</v>
      </c>
    </row>
    <row r="933" spans="10:12" s="1" customFormat="1" x14ac:dyDescent="0.25">
      <c r="J933" s="47">
        <v>94.7</v>
      </c>
      <c r="K933" s="897">
        <f t="shared" si="44"/>
        <v>3.9999999999999994E-2</v>
      </c>
      <c r="L933" s="898">
        <f t="shared" si="45"/>
        <v>3.7879999999999963</v>
      </c>
    </row>
    <row r="934" spans="10:12" s="1" customFormat="1" x14ac:dyDescent="0.25">
      <c r="J934" s="47">
        <v>94.8</v>
      </c>
      <c r="K934" s="897">
        <f t="shared" si="44"/>
        <v>3.9999999999999994E-2</v>
      </c>
      <c r="L934" s="898">
        <f t="shared" si="45"/>
        <v>3.7919999999999958</v>
      </c>
    </row>
    <row r="935" spans="10:12" s="1" customFormat="1" x14ac:dyDescent="0.25">
      <c r="J935" s="47">
        <v>94.9</v>
      </c>
      <c r="K935" s="897">
        <f t="shared" si="44"/>
        <v>3.9999999999999994E-2</v>
      </c>
      <c r="L935" s="898">
        <f t="shared" si="45"/>
        <v>3.7959999999999963</v>
      </c>
    </row>
    <row r="936" spans="10:12" s="1" customFormat="1" x14ac:dyDescent="0.25">
      <c r="J936" s="47">
        <v>95</v>
      </c>
      <c r="K936" s="897">
        <f t="shared" si="44"/>
        <v>3.9999999999999994E-2</v>
      </c>
      <c r="L936" s="898">
        <f t="shared" si="45"/>
        <v>3.7999999999999958</v>
      </c>
    </row>
    <row r="937" spans="10:12" s="1" customFormat="1" x14ac:dyDescent="0.25">
      <c r="J937" s="47">
        <v>95.1</v>
      </c>
      <c r="K937" s="897">
        <f t="shared" si="44"/>
        <v>3.9999999999999994E-2</v>
      </c>
      <c r="L937" s="898">
        <f t="shared" si="45"/>
        <v>3.8039999999999954</v>
      </c>
    </row>
    <row r="938" spans="10:12" s="1" customFormat="1" x14ac:dyDescent="0.25">
      <c r="J938" s="47">
        <v>95.2</v>
      </c>
      <c r="K938" s="897">
        <f t="shared" si="44"/>
        <v>3.9999999999999994E-2</v>
      </c>
      <c r="L938" s="898">
        <f t="shared" si="45"/>
        <v>3.8079999999999958</v>
      </c>
    </row>
    <row r="939" spans="10:12" s="1" customFormat="1" x14ac:dyDescent="0.25">
      <c r="J939" s="47">
        <v>95.3</v>
      </c>
      <c r="K939" s="897">
        <f t="shared" si="44"/>
        <v>3.9999999999999994E-2</v>
      </c>
      <c r="L939" s="898">
        <f t="shared" si="45"/>
        <v>3.8119999999999954</v>
      </c>
    </row>
    <row r="940" spans="10:12" s="1" customFormat="1" x14ac:dyDescent="0.25">
      <c r="J940" s="47">
        <v>95.4</v>
      </c>
      <c r="K940" s="897">
        <f t="shared" si="44"/>
        <v>3.9999999999999994E-2</v>
      </c>
      <c r="L940" s="898">
        <f t="shared" si="45"/>
        <v>3.8159999999999958</v>
      </c>
    </row>
    <row r="941" spans="10:12" s="1" customFormat="1" x14ac:dyDescent="0.25">
      <c r="J941" s="47">
        <v>95.5</v>
      </c>
      <c r="K941" s="897">
        <f t="shared" si="44"/>
        <v>3.9999999999999994E-2</v>
      </c>
      <c r="L941" s="898">
        <f t="shared" si="45"/>
        <v>3.8199999999999954</v>
      </c>
    </row>
    <row r="942" spans="10:12" s="1" customFormat="1" x14ac:dyDescent="0.25">
      <c r="J942" s="47">
        <v>95.6</v>
      </c>
      <c r="K942" s="897">
        <f t="shared" si="44"/>
        <v>3.9999999999999994E-2</v>
      </c>
      <c r="L942" s="898">
        <f t="shared" si="45"/>
        <v>3.823999999999995</v>
      </c>
    </row>
    <row r="943" spans="10:12" s="1" customFormat="1" x14ac:dyDescent="0.25">
      <c r="J943" s="47">
        <v>95.7</v>
      </c>
      <c r="K943" s="897">
        <f t="shared" si="44"/>
        <v>3.9999999999999994E-2</v>
      </c>
      <c r="L943" s="898">
        <f t="shared" si="45"/>
        <v>3.8279999999999954</v>
      </c>
    </row>
    <row r="944" spans="10:12" s="1" customFormat="1" x14ac:dyDescent="0.25">
      <c r="J944" s="47">
        <v>95.8</v>
      </c>
      <c r="K944" s="897">
        <f t="shared" si="44"/>
        <v>3.9999999999999994E-2</v>
      </c>
      <c r="L944" s="898">
        <f t="shared" si="45"/>
        <v>3.831999999999995</v>
      </c>
    </row>
    <row r="945" spans="10:12" s="1" customFormat="1" x14ac:dyDescent="0.25">
      <c r="J945" s="47">
        <v>95.9</v>
      </c>
      <c r="K945" s="897">
        <f t="shared" si="44"/>
        <v>3.9999999999999994E-2</v>
      </c>
      <c r="L945" s="898">
        <f t="shared" si="45"/>
        <v>3.8359999999999954</v>
      </c>
    </row>
    <row r="946" spans="10:12" s="1" customFormat="1" x14ac:dyDescent="0.25">
      <c r="J946" s="47">
        <v>96</v>
      </c>
      <c r="K946" s="897">
        <f t="shared" si="44"/>
        <v>3.9999999999999994E-2</v>
      </c>
      <c r="L946" s="898">
        <f t="shared" si="45"/>
        <v>3.839999999999995</v>
      </c>
    </row>
    <row r="947" spans="10:12" s="1" customFormat="1" x14ac:dyDescent="0.25">
      <c r="J947" s="47">
        <v>96.1</v>
      </c>
      <c r="K947" s="897">
        <f t="shared" si="44"/>
        <v>3.9999999999999994E-2</v>
      </c>
      <c r="L947" s="898">
        <f t="shared" si="45"/>
        <v>3.8439999999999945</v>
      </c>
    </row>
    <row r="948" spans="10:12" s="1" customFormat="1" x14ac:dyDescent="0.25">
      <c r="J948" s="47">
        <v>96.2</v>
      </c>
      <c r="K948" s="897">
        <f t="shared" si="44"/>
        <v>3.9999999999999994E-2</v>
      </c>
      <c r="L948" s="898">
        <f t="shared" si="45"/>
        <v>3.847999999999995</v>
      </c>
    </row>
    <row r="949" spans="10:12" s="1" customFormat="1" x14ac:dyDescent="0.25">
      <c r="J949" s="47">
        <v>96.3</v>
      </c>
      <c r="K949" s="897">
        <f t="shared" si="44"/>
        <v>3.9999999999999994E-2</v>
      </c>
      <c r="L949" s="898">
        <f t="shared" si="45"/>
        <v>3.8519999999999945</v>
      </c>
    </row>
    <row r="950" spans="10:12" s="1" customFormat="1" x14ac:dyDescent="0.25">
      <c r="J950" s="47">
        <v>96.4</v>
      </c>
      <c r="K950" s="897">
        <f t="shared" si="44"/>
        <v>3.9999999999999994E-2</v>
      </c>
      <c r="L950" s="898">
        <f t="shared" si="45"/>
        <v>3.855999999999995</v>
      </c>
    </row>
    <row r="951" spans="10:12" s="1" customFormat="1" x14ac:dyDescent="0.25">
      <c r="J951" s="47">
        <v>96.5</v>
      </c>
      <c r="K951" s="897">
        <f t="shared" si="44"/>
        <v>3.9999999999999994E-2</v>
      </c>
      <c r="L951" s="898">
        <f t="shared" ref="L951:L982" si="46">L950+(K951)*(J951-J950)</f>
        <v>3.8599999999999945</v>
      </c>
    </row>
    <row r="952" spans="10:12" s="1" customFormat="1" x14ac:dyDescent="0.25">
      <c r="J952" s="47">
        <v>96.6</v>
      </c>
      <c r="K952" s="897">
        <f t="shared" si="44"/>
        <v>3.9999999999999994E-2</v>
      </c>
      <c r="L952" s="898">
        <f t="shared" si="46"/>
        <v>3.8639999999999941</v>
      </c>
    </row>
    <row r="953" spans="10:12" s="1" customFormat="1" x14ac:dyDescent="0.25">
      <c r="J953" s="47">
        <v>96.7</v>
      </c>
      <c r="K953" s="897">
        <f t="shared" si="44"/>
        <v>3.9999999999999994E-2</v>
      </c>
      <c r="L953" s="898">
        <f t="shared" si="46"/>
        <v>3.8679999999999946</v>
      </c>
    </row>
    <row r="954" spans="10:12" s="1" customFormat="1" x14ac:dyDescent="0.25">
      <c r="J954" s="47">
        <v>96.8</v>
      </c>
      <c r="K954" s="897">
        <f t="shared" si="44"/>
        <v>3.9999999999999994E-2</v>
      </c>
      <c r="L954" s="898">
        <f t="shared" si="46"/>
        <v>3.8719999999999941</v>
      </c>
    </row>
    <row r="955" spans="10:12" s="1" customFormat="1" x14ac:dyDescent="0.25">
      <c r="J955" s="47">
        <v>96.9</v>
      </c>
      <c r="K955" s="897">
        <f t="shared" si="44"/>
        <v>3.9999999999999994E-2</v>
      </c>
      <c r="L955" s="898">
        <f t="shared" si="46"/>
        <v>3.8759999999999946</v>
      </c>
    </row>
    <row r="956" spans="10:12" s="1" customFormat="1" x14ac:dyDescent="0.25">
      <c r="J956" s="47">
        <v>97</v>
      </c>
      <c r="K956" s="897">
        <f t="shared" si="44"/>
        <v>3.9999999999999994E-2</v>
      </c>
      <c r="L956" s="898">
        <f t="shared" si="46"/>
        <v>3.8799999999999941</v>
      </c>
    </row>
    <row r="957" spans="10:12" s="1" customFormat="1" x14ac:dyDescent="0.25">
      <c r="J957" s="47">
        <v>97.1</v>
      </c>
      <c r="K957" s="897">
        <f t="shared" si="44"/>
        <v>3.9999999999999994E-2</v>
      </c>
      <c r="L957" s="898">
        <f t="shared" si="46"/>
        <v>3.8839999999999937</v>
      </c>
    </row>
    <row r="958" spans="10:12" s="1" customFormat="1" x14ac:dyDescent="0.25">
      <c r="J958" s="47">
        <v>97.2</v>
      </c>
      <c r="K958" s="897">
        <f t="shared" si="44"/>
        <v>3.9999999999999994E-2</v>
      </c>
      <c r="L958" s="898">
        <f t="shared" si="46"/>
        <v>3.8879999999999941</v>
      </c>
    </row>
    <row r="959" spans="10:12" s="1" customFormat="1" x14ac:dyDescent="0.25">
      <c r="J959" s="47">
        <v>97.3</v>
      </c>
      <c r="K959" s="897">
        <f t="shared" si="44"/>
        <v>3.9999999999999994E-2</v>
      </c>
      <c r="L959" s="898">
        <f t="shared" si="46"/>
        <v>3.8919999999999937</v>
      </c>
    </row>
    <row r="960" spans="10:12" s="1" customFormat="1" x14ac:dyDescent="0.25">
      <c r="J960" s="47">
        <v>97.4</v>
      </c>
      <c r="K960" s="897">
        <f t="shared" si="44"/>
        <v>3.9999999999999994E-2</v>
      </c>
      <c r="L960" s="898">
        <f t="shared" si="46"/>
        <v>3.8959999999999941</v>
      </c>
    </row>
    <row r="961" spans="10:12" s="1" customFormat="1" x14ac:dyDescent="0.25">
      <c r="J961" s="47">
        <v>97.5</v>
      </c>
      <c r="K961" s="897">
        <f t="shared" si="44"/>
        <v>3.9999999999999994E-2</v>
      </c>
      <c r="L961" s="898">
        <f t="shared" si="46"/>
        <v>3.8999999999999937</v>
      </c>
    </row>
    <row r="962" spans="10:12" s="1" customFormat="1" x14ac:dyDescent="0.25">
      <c r="J962" s="47">
        <v>97.6</v>
      </c>
      <c r="K962" s="897">
        <f t="shared" si="44"/>
        <v>3.9999999999999994E-2</v>
      </c>
      <c r="L962" s="898">
        <f t="shared" si="46"/>
        <v>3.9039999999999933</v>
      </c>
    </row>
    <row r="963" spans="10:12" s="1" customFormat="1" x14ac:dyDescent="0.25">
      <c r="J963" s="47">
        <v>97.7</v>
      </c>
      <c r="K963" s="897">
        <f t="shared" si="44"/>
        <v>3.9999999999999994E-2</v>
      </c>
      <c r="L963" s="898">
        <f t="shared" si="46"/>
        <v>3.9079999999999937</v>
      </c>
    </row>
    <row r="964" spans="10:12" s="1" customFormat="1" x14ac:dyDescent="0.25">
      <c r="J964" s="47">
        <v>97.8</v>
      </c>
      <c r="K964" s="897">
        <f t="shared" si="44"/>
        <v>3.9999999999999994E-2</v>
      </c>
      <c r="L964" s="898">
        <f t="shared" si="46"/>
        <v>3.9119999999999933</v>
      </c>
    </row>
    <row r="965" spans="10:12" s="1" customFormat="1" x14ac:dyDescent="0.25">
      <c r="J965" s="47">
        <v>97.9</v>
      </c>
      <c r="K965" s="897">
        <f t="shared" si="44"/>
        <v>3.9999999999999994E-2</v>
      </c>
      <c r="L965" s="898">
        <f t="shared" si="46"/>
        <v>3.9159999999999937</v>
      </c>
    </row>
    <row r="966" spans="10:12" s="1" customFormat="1" x14ac:dyDescent="0.25">
      <c r="J966" s="47">
        <v>98</v>
      </c>
      <c r="K966" s="897">
        <f t="shared" ref="K966:K986" si="47">LOOKUP(J966,$C$6:$C$17,$H$6:$H$17)</f>
        <v>3.9999999999999994E-2</v>
      </c>
      <c r="L966" s="898">
        <f t="shared" si="46"/>
        <v>3.9199999999999933</v>
      </c>
    </row>
    <row r="967" spans="10:12" s="1" customFormat="1" x14ac:dyDescent="0.25">
      <c r="J967" s="47">
        <v>98.1</v>
      </c>
      <c r="K967" s="897">
        <f t="shared" si="47"/>
        <v>3.9999999999999994E-2</v>
      </c>
      <c r="L967" s="898">
        <f t="shared" si="46"/>
        <v>3.9239999999999928</v>
      </c>
    </row>
    <row r="968" spans="10:12" s="1" customFormat="1" x14ac:dyDescent="0.25">
      <c r="J968" s="47">
        <v>98.2</v>
      </c>
      <c r="K968" s="897">
        <f t="shared" si="47"/>
        <v>3.9999999999999994E-2</v>
      </c>
      <c r="L968" s="898">
        <f t="shared" si="46"/>
        <v>3.9279999999999933</v>
      </c>
    </row>
    <row r="969" spans="10:12" s="1" customFormat="1" x14ac:dyDescent="0.25">
      <c r="J969" s="47">
        <v>98.3</v>
      </c>
      <c r="K969" s="897">
        <f t="shared" si="47"/>
        <v>3.9999999999999994E-2</v>
      </c>
      <c r="L969" s="898">
        <f t="shared" si="46"/>
        <v>3.9319999999999928</v>
      </c>
    </row>
    <row r="970" spans="10:12" s="1" customFormat="1" x14ac:dyDescent="0.25">
      <c r="J970" s="47">
        <v>98.4</v>
      </c>
      <c r="K970" s="897">
        <f t="shared" si="47"/>
        <v>3.9999999999999994E-2</v>
      </c>
      <c r="L970" s="898">
        <f t="shared" si="46"/>
        <v>3.9359999999999933</v>
      </c>
    </row>
    <row r="971" spans="10:12" s="1" customFormat="1" x14ac:dyDescent="0.25">
      <c r="J971" s="47">
        <v>98.5</v>
      </c>
      <c r="K971" s="897">
        <f t="shared" si="47"/>
        <v>3.9999999999999994E-2</v>
      </c>
      <c r="L971" s="898">
        <f t="shared" si="46"/>
        <v>3.9399999999999928</v>
      </c>
    </row>
    <row r="972" spans="10:12" s="1" customFormat="1" x14ac:dyDescent="0.25">
      <c r="J972" s="47">
        <v>98.6</v>
      </c>
      <c r="K972" s="897">
        <f t="shared" si="47"/>
        <v>3.9999999999999994E-2</v>
      </c>
      <c r="L972" s="898">
        <f t="shared" si="46"/>
        <v>3.9439999999999924</v>
      </c>
    </row>
    <row r="973" spans="10:12" s="1" customFormat="1" x14ac:dyDescent="0.25">
      <c r="J973" s="47">
        <v>98.7</v>
      </c>
      <c r="K973" s="897">
        <f t="shared" si="47"/>
        <v>3.9999999999999994E-2</v>
      </c>
      <c r="L973" s="898">
        <f t="shared" si="46"/>
        <v>3.9479999999999928</v>
      </c>
    </row>
    <row r="974" spans="10:12" s="1" customFormat="1" x14ac:dyDescent="0.25">
      <c r="J974" s="47">
        <v>98.8</v>
      </c>
      <c r="K974" s="897">
        <f t="shared" si="47"/>
        <v>3.9999999999999994E-2</v>
      </c>
      <c r="L974" s="898">
        <f t="shared" si="46"/>
        <v>3.9519999999999924</v>
      </c>
    </row>
    <row r="975" spans="10:12" s="1" customFormat="1" x14ac:dyDescent="0.25">
      <c r="J975" s="47">
        <v>98.9</v>
      </c>
      <c r="K975" s="897">
        <f t="shared" si="47"/>
        <v>3.9999999999999994E-2</v>
      </c>
      <c r="L975" s="898">
        <f t="shared" si="46"/>
        <v>3.9559999999999929</v>
      </c>
    </row>
    <row r="976" spans="10:12" s="1" customFormat="1" x14ac:dyDescent="0.25">
      <c r="J976" s="47">
        <v>99</v>
      </c>
      <c r="K976" s="897">
        <f t="shared" si="47"/>
        <v>3.9999999999999994E-2</v>
      </c>
      <c r="L976" s="898">
        <f t="shared" si="46"/>
        <v>3.9599999999999924</v>
      </c>
    </row>
    <row r="977" spans="10:12" s="1" customFormat="1" x14ac:dyDescent="0.25">
      <c r="J977" s="47">
        <v>99.1</v>
      </c>
      <c r="K977" s="897">
        <f t="shared" si="47"/>
        <v>3.9999999999999994E-2</v>
      </c>
      <c r="L977" s="898">
        <f t="shared" si="46"/>
        <v>3.963999999999992</v>
      </c>
    </row>
    <row r="978" spans="10:12" s="1" customFormat="1" x14ac:dyDescent="0.25">
      <c r="J978" s="47">
        <v>99.2</v>
      </c>
      <c r="K978" s="897">
        <f t="shared" si="47"/>
        <v>3.9999999999999994E-2</v>
      </c>
      <c r="L978" s="898">
        <f t="shared" si="46"/>
        <v>3.9679999999999924</v>
      </c>
    </row>
    <row r="979" spans="10:12" s="1" customFormat="1" x14ac:dyDescent="0.25">
      <c r="J979" s="47">
        <v>99.3</v>
      </c>
      <c r="K979" s="897">
        <f t="shared" si="47"/>
        <v>3.9999999999999994E-2</v>
      </c>
      <c r="L979" s="898">
        <f t="shared" si="46"/>
        <v>3.971999999999992</v>
      </c>
    </row>
    <row r="980" spans="10:12" s="1" customFormat="1" x14ac:dyDescent="0.25">
      <c r="J980" s="47">
        <v>99.4</v>
      </c>
      <c r="K980" s="897">
        <f t="shared" si="47"/>
        <v>3.9999999999999994E-2</v>
      </c>
      <c r="L980" s="898">
        <f t="shared" si="46"/>
        <v>3.9759999999999924</v>
      </c>
    </row>
    <row r="981" spans="10:12" s="1" customFormat="1" x14ac:dyDescent="0.25">
      <c r="J981" s="47">
        <v>99.5</v>
      </c>
      <c r="K981" s="897">
        <f t="shared" si="47"/>
        <v>3.9999999999999994E-2</v>
      </c>
      <c r="L981" s="898">
        <f t="shared" si="46"/>
        <v>3.979999999999992</v>
      </c>
    </row>
    <row r="982" spans="10:12" s="1" customFormat="1" x14ac:dyDescent="0.25">
      <c r="J982" s="47">
        <v>99.6</v>
      </c>
      <c r="K982" s="897">
        <f t="shared" si="47"/>
        <v>3.9999999999999994E-2</v>
      </c>
      <c r="L982" s="898">
        <f t="shared" si="46"/>
        <v>3.9839999999999915</v>
      </c>
    </row>
    <row r="983" spans="10:12" s="1" customFormat="1" x14ac:dyDescent="0.25">
      <c r="J983" s="47">
        <v>99.7</v>
      </c>
      <c r="K983" s="897">
        <f t="shared" si="47"/>
        <v>3.9999999999999994E-2</v>
      </c>
      <c r="L983" s="898">
        <f>L982+(K983)*(J983-J982)</f>
        <v>3.987999999999992</v>
      </c>
    </row>
    <row r="984" spans="10:12" s="1" customFormat="1" x14ac:dyDescent="0.25">
      <c r="J984" s="47">
        <v>99.8</v>
      </c>
      <c r="K984" s="897">
        <f t="shared" si="47"/>
        <v>3.9999999999999994E-2</v>
      </c>
      <c r="L984" s="898">
        <f>L983+(K984)*(J984-J983)</f>
        <v>3.9919999999999916</v>
      </c>
    </row>
    <row r="985" spans="10:12" s="1" customFormat="1" x14ac:dyDescent="0.25">
      <c r="J985" s="47">
        <v>99.9</v>
      </c>
      <c r="K985" s="897">
        <f t="shared" si="47"/>
        <v>3.9999999999999994E-2</v>
      </c>
      <c r="L985" s="898">
        <f>L984+(K985)*(J985-J984)</f>
        <v>3.995999999999992</v>
      </c>
    </row>
    <row r="986" spans="10:12" s="1" customFormat="1" ht="15.75" thickBot="1" x14ac:dyDescent="0.3">
      <c r="J986" s="242">
        <v>100</v>
      </c>
      <c r="K986" s="905">
        <f t="shared" si="47"/>
        <v>0.04</v>
      </c>
      <c r="L986" s="906">
        <v>4</v>
      </c>
    </row>
  </sheetData>
  <sheetProtection algorithmName="SHA-512" hashValue="t9NT6l1xhRnzAPm+ScP+wuY+tGJXoMw1LfTj6wA0wI2GUcVOtHPi+QH+1ZjZhYlvZ01VsPsHrdjV9ERHo+FEDA==" saltValue="sOYOXnqIK7MYKj71fFbOAQ==" spinCount="100000" sheet="1" objects="1" scenarios="1"/>
  <mergeCells count="8">
    <mergeCell ref="J4:J5"/>
    <mergeCell ref="K4:K5"/>
    <mergeCell ref="L4:L5"/>
    <mergeCell ref="H4:H5"/>
    <mergeCell ref="B4:D4"/>
    <mergeCell ref="E4:G4"/>
    <mergeCell ref="B5:D5"/>
    <mergeCell ref="E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Presentacion</vt:lpstr>
      <vt:lpstr>1. Prediseño</vt:lpstr>
      <vt:lpstr>2. Propiedades de Disipador</vt:lpstr>
      <vt:lpstr>3. Fuerzas Laterales Equiv.</vt:lpstr>
      <vt:lpstr>1.1 Espectro de Diseño</vt:lpstr>
      <vt:lpstr>3.1 Coef. de Amortiguamiento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PCX</cp:lastModifiedBy>
  <cp:lastPrinted>2017-10-17T13:18:34Z</cp:lastPrinted>
  <dcterms:created xsi:type="dcterms:W3CDTF">2017-04-13T15:04:19Z</dcterms:created>
  <dcterms:modified xsi:type="dcterms:W3CDTF">2018-05-03T15:01:28Z</dcterms:modified>
</cp:coreProperties>
</file>