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na Informatica\Desktop\"/>
    </mc:Choice>
  </mc:AlternateContent>
  <bookViews>
    <workbookView xWindow="0" yWindow="0" windowWidth="20490" windowHeight="6870" activeTab="6"/>
  </bookViews>
  <sheets>
    <sheet name="modelo" sheetId="3" r:id="rId1"/>
    <sheet name="conteo 1" sheetId="2" r:id="rId2"/>
    <sheet name="conteo 2" sheetId="5" r:id="rId3"/>
    <sheet name="Factores" sheetId="7" r:id="rId4"/>
    <sheet name="trafico" sheetId="4" r:id="rId5"/>
    <sheet name="20 años " sheetId="6" r:id="rId6"/>
    <sheet name="etapas" sheetId="8" r:id="rId7"/>
  </sheets>
  <definedNames>
    <definedName name="solver_adj" localSheetId="5" hidden="1">'20 años '!$J$29</definedName>
    <definedName name="solver_adj" localSheetId="6" hidden="1">etapas!$G$108</definedName>
    <definedName name="solver_cvg" localSheetId="5" hidden="1">0.0001</definedName>
    <definedName name="solver_cvg" localSheetId="6" hidden="1">0.0001</definedName>
    <definedName name="solver_drv" localSheetId="5" hidden="1">2</definedName>
    <definedName name="solver_drv" localSheetId="6" hidden="1">2</definedName>
    <definedName name="solver_eng" localSheetId="5" hidden="1">1</definedName>
    <definedName name="solver_eng" localSheetId="6" hidden="1">1</definedName>
    <definedName name="solver_est" localSheetId="5" hidden="1">1</definedName>
    <definedName name="solver_est" localSheetId="6" hidden="1">1</definedName>
    <definedName name="solver_itr" localSheetId="5" hidden="1">2147483647</definedName>
    <definedName name="solver_itr" localSheetId="6" hidden="1">2147483647</definedName>
    <definedName name="solver_lhs1" localSheetId="5" hidden="1">'20 años '!$J$32</definedName>
    <definedName name="solver_lhs1" localSheetId="6" hidden="1">etapas!$G$111</definedName>
    <definedName name="solver_lhs2" localSheetId="5" hidden="1">'20 años '!$G$32</definedName>
    <definedName name="solver_lhs2" localSheetId="6" hidden="1">etapas!$G$32</definedName>
    <definedName name="solver_mip" localSheetId="5" hidden="1">2147483647</definedName>
    <definedName name="solver_mip" localSheetId="6" hidden="1">2147483647</definedName>
    <definedName name="solver_mni" localSheetId="5" hidden="1">30</definedName>
    <definedName name="solver_mni" localSheetId="6" hidden="1">30</definedName>
    <definedName name="solver_mrt" localSheetId="5" hidden="1">0.075</definedName>
    <definedName name="solver_mrt" localSheetId="6" hidden="1">0.075</definedName>
    <definedName name="solver_msl" localSheetId="5" hidden="1">2</definedName>
    <definedName name="solver_msl" localSheetId="6" hidden="1">2</definedName>
    <definedName name="solver_neg" localSheetId="5" hidden="1">1</definedName>
    <definedName name="solver_neg" localSheetId="6" hidden="1">1</definedName>
    <definedName name="solver_nod" localSheetId="5" hidden="1">2147483647</definedName>
    <definedName name="solver_nod" localSheetId="6" hidden="1">2147483647</definedName>
    <definedName name="solver_num" localSheetId="5" hidden="1">1</definedName>
    <definedName name="solver_num" localSheetId="6" hidden="1">1</definedName>
    <definedName name="solver_nwt" localSheetId="5" hidden="1">1</definedName>
    <definedName name="solver_nwt" localSheetId="6" hidden="1">1</definedName>
    <definedName name="solver_opt" localSheetId="5" hidden="1">'20 años '!$J$34</definedName>
    <definedName name="solver_opt" localSheetId="6" hidden="1">etapas!$G$113</definedName>
    <definedName name="solver_pre" localSheetId="5" hidden="1">0.000001</definedName>
    <definedName name="solver_pre" localSheetId="6" hidden="1">0.000001</definedName>
    <definedName name="solver_rbv" localSheetId="5" hidden="1">2</definedName>
    <definedName name="solver_rbv" localSheetId="6" hidden="1">2</definedName>
    <definedName name="solver_rel1" localSheetId="5" hidden="1">2</definedName>
    <definedName name="solver_rel1" localSheetId="6" hidden="1">2</definedName>
    <definedName name="solver_rel2" localSheetId="5" hidden="1">2</definedName>
    <definedName name="solver_rel2" localSheetId="6" hidden="1">2</definedName>
    <definedName name="solver_rhs1" localSheetId="5" hidden="1">'20 años '!$J$33</definedName>
    <definedName name="solver_rhs1" localSheetId="6" hidden="1">etapas!$G$112</definedName>
    <definedName name="solver_rhs2" localSheetId="5" hidden="1">'20 años '!$G$33</definedName>
    <definedName name="solver_rhs2" localSheetId="6" hidden="1">etapas!$G$33</definedName>
    <definedName name="solver_rlx" localSheetId="5" hidden="1">2</definedName>
    <definedName name="solver_rlx" localSheetId="6" hidden="1">2</definedName>
    <definedName name="solver_rsd" localSheetId="5" hidden="1">0</definedName>
    <definedName name="solver_rsd" localSheetId="6" hidden="1">0</definedName>
    <definedName name="solver_scl" localSheetId="5" hidden="1">2</definedName>
    <definedName name="solver_scl" localSheetId="6" hidden="1">2</definedName>
    <definedName name="solver_sho" localSheetId="5" hidden="1">2</definedName>
    <definedName name="solver_sho" localSheetId="6" hidden="1">2</definedName>
    <definedName name="solver_ssz" localSheetId="5" hidden="1">100</definedName>
    <definedName name="solver_ssz" localSheetId="6" hidden="1">100</definedName>
    <definedName name="solver_tim" localSheetId="5" hidden="1">2147483647</definedName>
    <definedName name="solver_tim" localSheetId="6" hidden="1">2147483647</definedName>
    <definedName name="solver_tol" localSheetId="5" hidden="1">0.01</definedName>
    <definedName name="solver_tol" localSheetId="6" hidden="1">0.01</definedName>
    <definedName name="solver_typ" localSheetId="5" hidden="1">3</definedName>
    <definedName name="solver_typ" localSheetId="6" hidden="1">3</definedName>
    <definedName name="solver_val" localSheetId="5" hidden="1">0</definedName>
    <definedName name="solver_val" localSheetId="6" hidden="1">0</definedName>
    <definedName name="solver_ver" localSheetId="5" hidden="1">3</definedName>
    <definedName name="solver_ver" localSheetId="6" hidden="1">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8" l="1"/>
  <c r="D90" i="8"/>
  <c r="D221" i="2"/>
  <c r="D220" i="2"/>
  <c r="D219" i="2"/>
  <c r="D218" i="2"/>
  <c r="D217" i="2"/>
  <c r="D216" i="2"/>
  <c r="D208" i="2"/>
  <c r="J208" i="2"/>
  <c r="K208" i="2"/>
  <c r="L208" i="2"/>
  <c r="C208" i="2"/>
  <c r="N121" i="8"/>
  <c r="D57" i="8"/>
  <c r="D93" i="8"/>
  <c r="E50" i="6"/>
  <c r="L7" i="4"/>
  <c r="L8" i="4"/>
  <c r="E10" i="7"/>
  <c r="D10" i="7"/>
  <c r="C203" i="2"/>
  <c r="C204" i="2"/>
  <c r="C205" i="2"/>
  <c r="C206" i="2" s="1"/>
  <c r="I203" i="2"/>
  <c r="F10" i="7" l="1"/>
  <c r="D211" i="2" l="1"/>
  <c r="N123" i="8" l="1"/>
  <c r="M126" i="8" s="1"/>
  <c r="E50" i="8" l="1"/>
  <c r="D4" i="8"/>
  <c r="G118" i="8"/>
  <c r="D118" i="8"/>
  <c r="G117" i="8"/>
  <c r="D117" i="8"/>
  <c r="G109" i="8"/>
  <c r="D109" i="8"/>
  <c r="G107" i="8"/>
  <c r="G116" i="8" s="1"/>
  <c r="D107" i="8"/>
  <c r="D116" i="8" s="1"/>
  <c r="G106" i="8"/>
  <c r="G115" i="8" s="1"/>
  <c r="D106" i="8"/>
  <c r="D115" i="8" s="1"/>
  <c r="D97" i="8"/>
  <c r="H128" i="8" s="1"/>
  <c r="H127" i="8"/>
  <c r="J68" i="8"/>
  <c r="J67" i="8"/>
  <c r="J66" i="8"/>
  <c r="E62" i="8"/>
  <c r="D61" i="8"/>
  <c r="E56" i="8"/>
  <c r="D55" i="8"/>
  <c r="D49" i="8"/>
  <c r="D40" i="8"/>
  <c r="D60" i="8" s="1"/>
  <c r="D39" i="8"/>
  <c r="D54" i="8" s="1"/>
  <c r="D38" i="8"/>
  <c r="D48" i="8" s="1"/>
  <c r="D50" i="8" s="1"/>
  <c r="G50" i="8" s="1"/>
  <c r="J31" i="8"/>
  <c r="G31" i="8"/>
  <c r="J30" i="8"/>
  <c r="G30" i="8"/>
  <c r="D30" i="8"/>
  <c r="J28" i="8"/>
  <c r="G28" i="8"/>
  <c r="D28" i="8"/>
  <c r="H19" i="8"/>
  <c r="D12" i="8" s="1"/>
  <c r="D18" i="8"/>
  <c r="D17" i="8"/>
  <c r="D16" i="8"/>
  <c r="K33" i="4" s="1"/>
  <c r="D14" i="8"/>
  <c r="D13" i="8"/>
  <c r="D11" i="8"/>
  <c r="D10" i="8"/>
  <c r="G27" i="8" s="1"/>
  <c r="G33" i="8" s="1"/>
  <c r="N127" i="8" l="1"/>
  <c r="O127" i="8" s="1"/>
  <c r="P127" i="8" s="1"/>
  <c r="J65" i="8"/>
  <c r="D51" i="8"/>
  <c r="D56" i="8" s="1"/>
  <c r="G56" i="8" s="1"/>
  <c r="D63" i="8"/>
  <c r="D31" i="8"/>
  <c r="J27" i="8"/>
  <c r="J33" i="8" s="1"/>
  <c r="D27" i="8"/>
  <c r="D33" i="8" l="1"/>
  <c r="D58" i="8"/>
  <c r="D62" i="8" s="1"/>
  <c r="G62" i="8" s="1"/>
  <c r="G119" i="8"/>
  <c r="G120" i="8" s="1"/>
  <c r="G122" i="8" s="1"/>
  <c r="D95" i="8" s="1"/>
  <c r="G110" i="8"/>
  <c r="G112" i="8" s="1"/>
  <c r="D119" i="8"/>
  <c r="D120" i="8" s="1"/>
  <c r="D122" i="8" s="1"/>
  <c r="D99" i="8" s="1"/>
  <c r="J128" i="8" s="1"/>
  <c r="D110" i="8"/>
  <c r="D112" i="8" s="1"/>
  <c r="J127" i="8" l="1"/>
  <c r="D64" i="8"/>
  <c r="D49" i="6" l="1"/>
  <c r="D55" i="6"/>
  <c r="E56" i="6"/>
  <c r="D61" i="6"/>
  <c r="E62" i="6"/>
  <c r="D16" i="6"/>
  <c r="D17" i="6"/>
  <c r="D18" i="6"/>
  <c r="D14" i="6"/>
  <c r="D13" i="6"/>
  <c r="D11" i="6"/>
  <c r="J31" i="6"/>
  <c r="D57" i="6" l="1"/>
  <c r="D58" i="6" s="1"/>
  <c r="D51" i="6"/>
  <c r="H19" i="6"/>
  <c r="D12" i="6" s="1"/>
  <c r="D31" i="6" l="1"/>
  <c r="E4" i="7" l="1"/>
  <c r="D4" i="7"/>
  <c r="V83" i="5"/>
  <c r="L83" i="5"/>
  <c r="V57" i="5"/>
  <c r="L57" i="5"/>
  <c r="F4" i="7" l="1"/>
  <c r="E203" i="2"/>
  <c r="J56" i="7" l="1"/>
  <c r="E56" i="7"/>
  <c r="J63" i="7"/>
  <c r="I63" i="7"/>
  <c r="D123" i="7"/>
  <c r="N126" i="7"/>
  <c r="D80" i="5" l="1"/>
  <c r="Q189" i="2"/>
  <c r="Q203" i="2" s="1"/>
  <c r="P189" i="2"/>
  <c r="P203" i="2" s="1"/>
  <c r="P79" i="5"/>
  <c r="Q79" i="5"/>
  <c r="P80" i="5"/>
  <c r="Q80" i="5"/>
  <c r="Q83" i="5" s="1"/>
  <c r="Q85" i="5" s="1"/>
  <c r="Q204" i="2" s="1"/>
  <c r="Q205" i="2" s="1"/>
  <c r="Q206" i="2" s="1"/>
  <c r="P81" i="5"/>
  <c r="P83" i="5" s="1"/>
  <c r="P85" i="5" s="1"/>
  <c r="P204" i="2" s="1"/>
  <c r="P205" i="2" s="1"/>
  <c r="P206" i="2" s="1"/>
  <c r="Q81" i="5"/>
  <c r="P82" i="5"/>
  <c r="Q82" i="5"/>
  <c r="F79" i="5"/>
  <c r="G79" i="5"/>
  <c r="F80" i="5"/>
  <c r="F83" i="5" s="1"/>
  <c r="F85" i="5" s="1"/>
  <c r="F204" i="2" s="1"/>
  <c r="F205" i="2" s="1"/>
  <c r="F206" i="2" s="1"/>
  <c r="G80" i="5"/>
  <c r="F81" i="5"/>
  <c r="G81" i="5"/>
  <c r="G83" i="5" s="1"/>
  <c r="G85" i="5" s="1"/>
  <c r="G204" i="2" s="1"/>
  <c r="G205" i="2" s="1"/>
  <c r="G206" i="2" s="1"/>
  <c r="G208" i="2" s="1"/>
  <c r="F82" i="5"/>
  <c r="G82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U32" i="5" s="1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U8" i="5" s="1"/>
  <c r="S10" i="5"/>
  <c r="S9" i="5"/>
  <c r="S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8" i="5"/>
  <c r="X8" i="5"/>
  <c r="AA8" i="5"/>
  <c r="P57" i="5"/>
  <c r="Q57" i="5"/>
  <c r="F57" i="5"/>
  <c r="G57" i="5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8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H175" i="2"/>
  <c r="Q153" i="2"/>
  <c r="R153" i="2"/>
  <c r="G153" i="2"/>
  <c r="H153" i="2"/>
  <c r="P153" i="2"/>
  <c r="F153" i="2"/>
  <c r="F208" i="2" l="1"/>
  <c r="K32" i="5"/>
  <c r="K20" i="5"/>
  <c r="K80" i="5" s="1"/>
  <c r="U20" i="5"/>
  <c r="K8" i="5"/>
  <c r="K44" i="5"/>
  <c r="K82" i="5" s="1"/>
  <c r="U44" i="5"/>
  <c r="U82" i="5" s="1"/>
  <c r="K79" i="5"/>
  <c r="U79" i="5"/>
  <c r="U81" i="5"/>
  <c r="K81" i="5"/>
  <c r="U80" i="5"/>
  <c r="U44" i="2"/>
  <c r="U178" i="2" s="1"/>
  <c r="Q211" i="2"/>
  <c r="F211" i="2"/>
  <c r="K8" i="2"/>
  <c r="G211" i="2"/>
  <c r="P211" i="2"/>
  <c r="U92" i="2"/>
  <c r="U182" i="2" s="1"/>
  <c r="G187" i="2"/>
  <c r="G189" i="2" s="1"/>
  <c r="G203" i="2" s="1"/>
  <c r="U140" i="2"/>
  <c r="U186" i="2" s="1"/>
  <c r="F187" i="2"/>
  <c r="K128" i="2"/>
  <c r="K185" i="2" s="1"/>
  <c r="K104" i="2"/>
  <c r="K183" i="2" s="1"/>
  <c r="U116" i="2"/>
  <c r="U184" i="2" s="1"/>
  <c r="U104" i="2"/>
  <c r="U183" i="2" s="1"/>
  <c r="U68" i="2"/>
  <c r="U180" i="2" s="1"/>
  <c r="U20" i="2"/>
  <c r="U176" i="2" s="1"/>
  <c r="K80" i="2"/>
  <c r="K181" i="2" s="1"/>
  <c r="K56" i="2"/>
  <c r="K179" i="2" s="1"/>
  <c r="K32" i="2"/>
  <c r="K177" i="2" s="1"/>
  <c r="U128" i="2"/>
  <c r="U185" i="2" s="1"/>
  <c r="U80" i="2"/>
  <c r="U181" i="2" s="1"/>
  <c r="U56" i="2"/>
  <c r="U179" i="2" s="1"/>
  <c r="U32" i="2"/>
  <c r="U177" i="2" s="1"/>
  <c r="K140" i="2"/>
  <c r="K186" i="2" s="1"/>
  <c r="K116" i="2"/>
  <c r="K184" i="2" s="1"/>
  <c r="K92" i="2"/>
  <c r="K182" i="2" s="1"/>
  <c r="K68" i="2"/>
  <c r="K180" i="2" s="1"/>
  <c r="K44" i="2"/>
  <c r="K20" i="2"/>
  <c r="K176" i="2" s="1"/>
  <c r="U8" i="2"/>
  <c r="U175" i="2" s="1"/>
  <c r="R82" i="5"/>
  <c r="O82" i="5"/>
  <c r="N82" i="5"/>
  <c r="M82" i="5"/>
  <c r="S82" i="5" s="1"/>
  <c r="R81" i="5"/>
  <c r="O81" i="5"/>
  <c r="N81" i="5"/>
  <c r="M81" i="5"/>
  <c r="S81" i="5" s="1"/>
  <c r="R80" i="5"/>
  <c r="O80" i="5"/>
  <c r="N80" i="5"/>
  <c r="M80" i="5"/>
  <c r="S80" i="5" s="1"/>
  <c r="R79" i="5"/>
  <c r="O79" i="5"/>
  <c r="N79" i="5"/>
  <c r="M79" i="5"/>
  <c r="S79" i="5" s="1"/>
  <c r="D79" i="5"/>
  <c r="E79" i="5"/>
  <c r="H79" i="5"/>
  <c r="E80" i="5"/>
  <c r="H80" i="5"/>
  <c r="D81" i="5"/>
  <c r="E81" i="5"/>
  <c r="H81" i="5"/>
  <c r="D82" i="5"/>
  <c r="E82" i="5"/>
  <c r="H82" i="5"/>
  <c r="C82" i="5"/>
  <c r="I82" i="5" s="1"/>
  <c r="C81" i="5"/>
  <c r="C80" i="5"/>
  <c r="I80" i="5" s="1"/>
  <c r="C79" i="5"/>
  <c r="R83" i="5"/>
  <c r="R85" i="5" s="1"/>
  <c r="R204" i="2" s="1"/>
  <c r="R205" i="2" s="1"/>
  <c r="R206" i="2" s="1"/>
  <c r="R211" i="2" s="1"/>
  <c r="D175" i="2"/>
  <c r="E175" i="2"/>
  <c r="M175" i="2"/>
  <c r="N175" i="2"/>
  <c r="O175" i="2"/>
  <c r="R175" i="2"/>
  <c r="D176" i="2"/>
  <c r="E176" i="2"/>
  <c r="H176" i="2"/>
  <c r="M176" i="2"/>
  <c r="N176" i="2"/>
  <c r="O176" i="2"/>
  <c r="R176" i="2"/>
  <c r="D177" i="2"/>
  <c r="E177" i="2"/>
  <c r="H177" i="2"/>
  <c r="M177" i="2"/>
  <c r="N177" i="2"/>
  <c r="O177" i="2"/>
  <c r="R177" i="2"/>
  <c r="D178" i="2"/>
  <c r="E178" i="2"/>
  <c r="H178" i="2"/>
  <c r="M178" i="2"/>
  <c r="N178" i="2"/>
  <c r="O178" i="2"/>
  <c r="R178" i="2"/>
  <c r="D179" i="2"/>
  <c r="E179" i="2"/>
  <c r="H179" i="2"/>
  <c r="M179" i="2"/>
  <c r="N179" i="2"/>
  <c r="O179" i="2"/>
  <c r="R179" i="2"/>
  <c r="D180" i="2"/>
  <c r="E180" i="2"/>
  <c r="H180" i="2"/>
  <c r="M180" i="2"/>
  <c r="N180" i="2"/>
  <c r="O180" i="2"/>
  <c r="R180" i="2"/>
  <c r="D181" i="2"/>
  <c r="E181" i="2"/>
  <c r="H181" i="2"/>
  <c r="M181" i="2"/>
  <c r="N181" i="2"/>
  <c r="O181" i="2"/>
  <c r="R181" i="2"/>
  <c r="D182" i="2"/>
  <c r="E182" i="2"/>
  <c r="H182" i="2"/>
  <c r="M182" i="2"/>
  <c r="N182" i="2"/>
  <c r="O182" i="2"/>
  <c r="R182" i="2"/>
  <c r="D183" i="2"/>
  <c r="E183" i="2"/>
  <c r="H183" i="2"/>
  <c r="M183" i="2"/>
  <c r="N183" i="2"/>
  <c r="O183" i="2"/>
  <c r="R183" i="2"/>
  <c r="D184" i="2"/>
  <c r="E184" i="2"/>
  <c r="H184" i="2"/>
  <c r="M184" i="2"/>
  <c r="N184" i="2"/>
  <c r="O184" i="2"/>
  <c r="R184" i="2"/>
  <c r="D185" i="2"/>
  <c r="E185" i="2"/>
  <c r="H185" i="2"/>
  <c r="M185" i="2"/>
  <c r="N185" i="2"/>
  <c r="O185" i="2"/>
  <c r="R185" i="2"/>
  <c r="D186" i="2"/>
  <c r="E186" i="2"/>
  <c r="H186" i="2"/>
  <c r="M186" i="2"/>
  <c r="N186" i="2"/>
  <c r="O186" i="2"/>
  <c r="R186" i="2"/>
  <c r="C181" i="2"/>
  <c r="C184" i="2"/>
  <c r="C185" i="2"/>
  <c r="C186" i="2"/>
  <c r="C182" i="2"/>
  <c r="C183" i="2"/>
  <c r="C180" i="2"/>
  <c r="C179" i="2"/>
  <c r="C178" i="2"/>
  <c r="C177" i="2"/>
  <c r="C176" i="2"/>
  <c r="C175" i="2"/>
  <c r="Z140" i="2"/>
  <c r="E16" i="7"/>
  <c r="D16" i="7"/>
  <c r="K178" i="2" l="1"/>
  <c r="K175" i="2"/>
  <c r="K153" i="2"/>
  <c r="I81" i="5"/>
  <c r="C83" i="5"/>
  <c r="C85" i="5" s="1"/>
  <c r="I79" i="5"/>
  <c r="S186" i="2"/>
  <c r="S182" i="2"/>
  <c r="S178" i="2"/>
  <c r="F189" i="2"/>
  <c r="F203" i="2" s="1"/>
  <c r="S183" i="2"/>
  <c r="S179" i="2"/>
  <c r="S175" i="2"/>
  <c r="S184" i="2"/>
  <c r="S180" i="2"/>
  <c r="S176" i="2"/>
  <c r="S185" i="2"/>
  <c r="S181" i="2"/>
  <c r="S177" i="2"/>
  <c r="C187" i="2"/>
  <c r="I175" i="2"/>
  <c r="I180" i="2"/>
  <c r="I185" i="2"/>
  <c r="I181" i="2"/>
  <c r="I177" i="2"/>
  <c r="I183" i="2"/>
  <c r="I179" i="2"/>
  <c r="I184" i="2"/>
  <c r="I176" i="2"/>
  <c r="I186" i="2"/>
  <c r="I182" i="2"/>
  <c r="I178" i="2"/>
  <c r="M83" i="5"/>
  <c r="N83" i="5"/>
  <c r="N85" i="5" s="1"/>
  <c r="D83" i="5"/>
  <c r="D85" i="5" s="1"/>
  <c r="H83" i="5"/>
  <c r="H85" i="5" s="1"/>
  <c r="E83" i="5"/>
  <c r="E85" i="5" s="1"/>
  <c r="O83" i="5"/>
  <c r="O85" i="5" s="1"/>
  <c r="O187" i="2"/>
  <c r="O189" i="2" s="1"/>
  <c r="N187" i="2"/>
  <c r="N189" i="2" s="1"/>
  <c r="M187" i="2"/>
  <c r="M189" i="2" s="1"/>
  <c r="R187" i="2"/>
  <c r="R189" i="2" s="1"/>
  <c r="R203" i="2" s="1"/>
  <c r="D187" i="2"/>
  <c r="D189" i="2" s="1"/>
  <c r="H187" i="2"/>
  <c r="H189" i="2" s="1"/>
  <c r="E187" i="2"/>
  <c r="E189" i="2" s="1"/>
  <c r="M19" i="4"/>
  <c r="M20" i="4"/>
  <c r="M21" i="4"/>
  <c r="M22" i="4"/>
  <c r="M23" i="4"/>
  <c r="M24" i="4"/>
  <c r="M25" i="4"/>
  <c r="M26" i="4"/>
  <c r="M27" i="4"/>
  <c r="M18" i="4"/>
  <c r="J18" i="4"/>
  <c r="J146" i="7"/>
  <c r="J147" i="7" s="1"/>
  <c r="C4" i="4" s="1"/>
  <c r="O128" i="7"/>
  <c r="P128" i="7" s="1"/>
  <c r="N145" i="7"/>
  <c r="N128" i="7"/>
  <c r="O126" i="7"/>
  <c r="P126" i="7"/>
  <c r="V108" i="7"/>
  <c r="V107" i="7"/>
  <c r="V109" i="7"/>
  <c r="V110" i="7"/>
  <c r="V111" i="7"/>
  <c r="V112" i="7"/>
  <c r="V113" i="7"/>
  <c r="V114" i="7"/>
  <c r="V105" i="7"/>
  <c r="V106" i="7"/>
  <c r="C123" i="7"/>
  <c r="G40" i="4"/>
  <c r="G33" i="4"/>
  <c r="J42" i="4"/>
  <c r="G42" i="4"/>
  <c r="J41" i="4"/>
  <c r="G41" i="4"/>
  <c r="J40" i="4"/>
  <c r="J39" i="4"/>
  <c r="G39" i="4"/>
  <c r="J38" i="4"/>
  <c r="G38" i="4"/>
  <c r="J37" i="4"/>
  <c r="G37" i="4"/>
  <c r="J36" i="4"/>
  <c r="G36" i="4"/>
  <c r="J35" i="4"/>
  <c r="G35" i="4"/>
  <c r="J34" i="4"/>
  <c r="G34" i="4"/>
  <c r="J33" i="4"/>
  <c r="E204" i="2" l="1"/>
  <c r="E205" i="2" s="1"/>
  <c r="E206" i="2" s="1"/>
  <c r="O204" i="2"/>
  <c r="O205" i="2" s="1"/>
  <c r="O206" i="2" s="1"/>
  <c r="O211" i="2" s="1"/>
  <c r="N204" i="2"/>
  <c r="M85" i="5"/>
  <c r="H204" i="2"/>
  <c r="H205" i="2" s="1"/>
  <c r="H206" i="2" s="1"/>
  <c r="H208" i="2" s="1"/>
  <c r="T183" i="2"/>
  <c r="C189" i="2"/>
  <c r="M203" i="2"/>
  <c r="S187" i="2"/>
  <c r="T181" i="2" s="1"/>
  <c r="N203" i="2"/>
  <c r="N205" i="2" s="1"/>
  <c r="N206" i="2" s="1"/>
  <c r="O203" i="2"/>
  <c r="I187" i="2"/>
  <c r="I189" i="2" s="1"/>
  <c r="D203" i="2"/>
  <c r="D205" i="2" s="1"/>
  <c r="D206" i="2" s="1"/>
  <c r="H203" i="2"/>
  <c r="I83" i="5"/>
  <c r="D84" i="5" s="1"/>
  <c r="E208" i="2" l="1"/>
  <c r="J185" i="2"/>
  <c r="I206" i="2"/>
  <c r="J181" i="2"/>
  <c r="J178" i="2"/>
  <c r="J186" i="2"/>
  <c r="H211" i="2"/>
  <c r="T186" i="2"/>
  <c r="E211" i="2"/>
  <c r="M204" i="2"/>
  <c r="S204" i="2" s="1"/>
  <c r="E11" i="7" s="1"/>
  <c r="T185" i="2"/>
  <c r="T184" i="2"/>
  <c r="J179" i="2"/>
  <c r="J175" i="2"/>
  <c r="J182" i="2"/>
  <c r="S189" i="2"/>
  <c r="S188" i="2"/>
  <c r="T178" i="2"/>
  <c r="J177" i="2"/>
  <c r="T182" i="2"/>
  <c r="J180" i="2"/>
  <c r="T180" i="2"/>
  <c r="T179" i="2"/>
  <c r="T175" i="2"/>
  <c r="J176" i="2"/>
  <c r="J184" i="2"/>
  <c r="J183" i="2"/>
  <c r="T177" i="2"/>
  <c r="T176" i="2"/>
  <c r="N211" i="2"/>
  <c r="S203" i="2"/>
  <c r="M205" i="2"/>
  <c r="M188" i="2"/>
  <c r="D204" i="2"/>
  <c r="I204" i="2" s="1"/>
  <c r="D11" i="7" s="1"/>
  <c r="F11" i="7" s="1"/>
  <c r="F12" i="7" s="1"/>
  <c r="J79" i="5"/>
  <c r="I85" i="5"/>
  <c r="Q84" i="5"/>
  <c r="H84" i="5"/>
  <c r="J81" i="5"/>
  <c r="P84" i="5"/>
  <c r="E84" i="5"/>
  <c r="I84" i="5"/>
  <c r="J82" i="5"/>
  <c r="O84" i="5"/>
  <c r="F84" i="5"/>
  <c r="C84" i="5"/>
  <c r="R84" i="5"/>
  <c r="N84" i="5"/>
  <c r="G84" i="5"/>
  <c r="J80" i="5"/>
  <c r="O188" i="2"/>
  <c r="N188" i="2"/>
  <c r="S83" i="5"/>
  <c r="C188" i="2"/>
  <c r="F188" i="2"/>
  <c r="D188" i="2"/>
  <c r="I188" i="2"/>
  <c r="E188" i="2"/>
  <c r="G11" i="7" l="1"/>
  <c r="G10" i="7"/>
  <c r="S84" i="5"/>
  <c r="S85" i="5"/>
  <c r="T80" i="5"/>
  <c r="T82" i="5"/>
  <c r="T81" i="5"/>
  <c r="T79" i="5"/>
  <c r="M84" i="5"/>
  <c r="I205" i="2"/>
  <c r="S205" i="2"/>
  <c r="M206" i="2"/>
  <c r="J68" i="6"/>
  <c r="J67" i="6"/>
  <c r="J66" i="6"/>
  <c r="D40" i="6"/>
  <c r="D39" i="6"/>
  <c r="D54" i="6" s="1"/>
  <c r="D56" i="6" s="1"/>
  <c r="D38" i="6"/>
  <c r="D48" i="6" s="1"/>
  <c r="D50" i="6" s="1"/>
  <c r="G50" i="6" s="1"/>
  <c r="J30" i="6"/>
  <c r="J28" i="6"/>
  <c r="G31" i="6"/>
  <c r="G30" i="6"/>
  <c r="G28" i="6"/>
  <c r="D30" i="6"/>
  <c r="D28" i="6"/>
  <c r="G12" i="7" l="1"/>
  <c r="L6" i="4" s="1"/>
  <c r="J65" i="6"/>
  <c r="L33" i="4"/>
  <c r="D60" i="6"/>
  <c r="S206" i="2"/>
  <c r="I208" i="2" s="1"/>
  <c r="G56" i="6"/>
  <c r="D62" i="6" l="1"/>
  <c r="D63" i="6"/>
  <c r="D64" i="6" s="1"/>
  <c r="C211" i="2"/>
  <c r="M211" i="2"/>
  <c r="S211" i="2" s="1"/>
  <c r="K34" i="4"/>
  <c r="M33" i="4"/>
  <c r="N33" i="4" s="1"/>
  <c r="O33" i="4" s="1"/>
  <c r="D10" i="6"/>
  <c r="D4" i="6"/>
  <c r="I211" i="2" l="1"/>
  <c r="I213" i="2" s="1"/>
  <c r="O5" i="4"/>
  <c r="G62" i="6"/>
  <c r="M34" i="4"/>
  <c r="L34" i="4"/>
  <c r="K35" i="4"/>
  <c r="D27" i="6"/>
  <c r="D33" i="6" s="1"/>
  <c r="J27" i="6"/>
  <c r="J33" i="6" s="1"/>
  <c r="G27" i="6"/>
  <c r="G33" i="6" s="1"/>
  <c r="J27" i="4"/>
  <c r="N27" i="4" s="1"/>
  <c r="O27" i="4" s="1"/>
  <c r="L26" i="4"/>
  <c r="J26" i="4"/>
  <c r="N26" i="4" s="1"/>
  <c r="O26" i="4" s="1"/>
  <c r="G27" i="4"/>
  <c r="L27" i="4" s="1"/>
  <c r="G26" i="4"/>
  <c r="J25" i="4"/>
  <c r="G25" i="4"/>
  <c r="L25" i="4" s="1"/>
  <c r="J24" i="4"/>
  <c r="G24" i="4"/>
  <c r="L24" i="4" s="1"/>
  <c r="Z128" i="2"/>
  <c r="Z116" i="2"/>
  <c r="Z104" i="2"/>
  <c r="Z92" i="2"/>
  <c r="Z80" i="2"/>
  <c r="Z68" i="2"/>
  <c r="Z56" i="2"/>
  <c r="Z44" i="2"/>
  <c r="Z32" i="2"/>
  <c r="Z20" i="2"/>
  <c r="Z8" i="2"/>
  <c r="AA32" i="5"/>
  <c r="AA44" i="5"/>
  <c r="AA20" i="5"/>
  <c r="Y140" i="2"/>
  <c r="Y128" i="2"/>
  <c r="Y116" i="2"/>
  <c r="Y104" i="2"/>
  <c r="Y92" i="2"/>
  <c r="Y80" i="2"/>
  <c r="Y68" i="2"/>
  <c r="Y56" i="2"/>
  <c r="Y44" i="2"/>
  <c r="Y32" i="2"/>
  <c r="Y20" i="2"/>
  <c r="Y8" i="2"/>
  <c r="X44" i="5"/>
  <c r="X32" i="5"/>
  <c r="X20" i="5"/>
  <c r="X57" i="5" l="1"/>
  <c r="Y62" i="5" s="1"/>
  <c r="AA57" i="5"/>
  <c r="AB62" i="5" s="1"/>
  <c r="N34" i="4"/>
  <c r="O34" i="4" s="1"/>
  <c r="K36" i="4"/>
  <c r="M35" i="4"/>
  <c r="L35" i="4"/>
  <c r="P26" i="4"/>
  <c r="N25" i="4"/>
  <c r="O25" i="4" s="1"/>
  <c r="N24" i="4"/>
  <c r="O24" i="4" s="1"/>
  <c r="D50" i="7"/>
  <c r="E50" i="7"/>
  <c r="C50" i="7"/>
  <c r="F38" i="7"/>
  <c r="F39" i="7"/>
  <c r="F40" i="7"/>
  <c r="F41" i="7"/>
  <c r="F42" i="7"/>
  <c r="F43" i="7"/>
  <c r="F44" i="7"/>
  <c r="F45" i="7"/>
  <c r="F46" i="7"/>
  <c r="F47" i="7"/>
  <c r="F48" i="7"/>
  <c r="F37" i="7"/>
  <c r="D49" i="7"/>
  <c r="E49" i="7"/>
  <c r="C49" i="7"/>
  <c r="C28" i="7"/>
  <c r="D17" i="7"/>
  <c r="E17" i="7" s="1"/>
  <c r="D18" i="7"/>
  <c r="E18" i="7"/>
  <c r="D19" i="7"/>
  <c r="E19" i="7" s="1"/>
  <c r="D20" i="7"/>
  <c r="E20" i="7" s="1"/>
  <c r="D21" i="7"/>
  <c r="E21" i="7" s="1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 s="1"/>
  <c r="N35" i="4" l="1"/>
  <c r="O35" i="4" s="1"/>
  <c r="AA60" i="5"/>
  <c r="AB60" i="5" s="1"/>
  <c r="AB61" i="5"/>
  <c r="X60" i="5"/>
  <c r="Y60" i="5" s="1"/>
  <c r="Y61" i="5"/>
  <c r="P33" i="4"/>
  <c r="K37" i="4"/>
  <c r="M36" i="4"/>
  <c r="L36" i="4"/>
  <c r="P24" i="4"/>
  <c r="F49" i="7"/>
  <c r="F50" i="7"/>
  <c r="D28" i="7"/>
  <c r="N36" i="4" l="1"/>
  <c r="O36" i="4" s="1"/>
  <c r="P35" i="4" s="1"/>
  <c r="K38" i="4"/>
  <c r="M37" i="4"/>
  <c r="L37" i="4"/>
  <c r="G37" i="7"/>
  <c r="G41" i="7"/>
  <c r="G45" i="7"/>
  <c r="G38" i="7"/>
  <c r="G42" i="7"/>
  <c r="G46" i="7"/>
  <c r="G39" i="7"/>
  <c r="G43" i="7"/>
  <c r="G47" i="7"/>
  <c r="G40" i="7"/>
  <c r="G44" i="7"/>
  <c r="G48" i="7"/>
  <c r="N37" i="4" l="1"/>
  <c r="O37" i="4" s="1"/>
  <c r="K39" i="4"/>
  <c r="M38" i="4"/>
  <c r="L38" i="4"/>
  <c r="N38" i="4" l="1"/>
  <c r="O38" i="4" s="1"/>
  <c r="K40" i="4"/>
  <c r="L39" i="4"/>
  <c r="M39" i="4"/>
  <c r="P37" i="4" l="1"/>
  <c r="N39" i="4"/>
  <c r="O39" i="4" s="1"/>
  <c r="M40" i="4"/>
  <c r="K41" i="4"/>
  <c r="L40" i="4"/>
  <c r="R57" i="5"/>
  <c r="O57" i="5"/>
  <c r="N57" i="5"/>
  <c r="M57" i="5"/>
  <c r="H57" i="5"/>
  <c r="E57" i="5"/>
  <c r="D57" i="5"/>
  <c r="C57" i="5"/>
  <c r="J43" i="5"/>
  <c r="J40" i="5"/>
  <c r="J39" i="5"/>
  <c r="J35" i="5"/>
  <c r="J31" i="5"/>
  <c r="J29" i="5"/>
  <c r="T19" i="5"/>
  <c r="T15" i="5"/>
  <c r="T11" i="5"/>
  <c r="J2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0" i="2"/>
  <c r="L44" i="2" l="1"/>
  <c r="V128" i="2"/>
  <c r="V185" i="2" s="1"/>
  <c r="V116" i="2"/>
  <c r="V184" i="2" s="1"/>
  <c r="V104" i="2"/>
  <c r="V183" i="2" s="1"/>
  <c r="V92" i="2"/>
  <c r="V182" i="2" s="1"/>
  <c r="V80" i="2"/>
  <c r="V181" i="2" s="1"/>
  <c r="V68" i="2"/>
  <c r="V180" i="2" s="1"/>
  <c r="V56" i="2"/>
  <c r="V179" i="2" s="1"/>
  <c r="V44" i="2"/>
  <c r="V178" i="2" s="1"/>
  <c r="V32" i="2"/>
  <c r="V177" i="2" s="1"/>
  <c r="V20" i="2"/>
  <c r="V176" i="2" s="1"/>
  <c r="L128" i="2"/>
  <c r="L185" i="2" s="1"/>
  <c r="L116" i="2"/>
  <c r="L184" i="2" s="1"/>
  <c r="L104" i="2"/>
  <c r="L183" i="2" s="1"/>
  <c r="L92" i="2"/>
  <c r="L182" i="2" s="1"/>
  <c r="L80" i="2"/>
  <c r="L181" i="2" s="1"/>
  <c r="L68" i="2"/>
  <c r="L180" i="2" s="1"/>
  <c r="L56" i="2"/>
  <c r="L179" i="2" s="1"/>
  <c r="L178" i="2"/>
  <c r="L32" i="2"/>
  <c r="L177" i="2" s="1"/>
  <c r="L20" i="2"/>
  <c r="L8" i="2"/>
  <c r="N40" i="4"/>
  <c r="O40" i="4" s="1"/>
  <c r="L41" i="4"/>
  <c r="M41" i="4"/>
  <c r="K42" i="4"/>
  <c r="T31" i="5"/>
  <c r="T37" i="5"/>
  <c r="T41" i="5"/>
  <c r="T13" i="5"/>
  <c r="T17" i="5"/>
  <c r="T21" i="5"/>
  <c r="T51" i="5"/>
  <c r="T49" i="5"/>
  <c r="J21" i="5"/>
  <c r="T47" i="5"/>
  <c r="T45" i="5"/>
  <c r="T54" i="5"/>
  <c r="T52" i="5"/>
  <c r="J10" i="5"/>
  <c r="J16" i="5"/>
  <c r="J33" i="5"/>
  <c r="J36" i="5"/>
  <c r="J37" i="5"/>
  <c r="J41" i="5"/>
  <c r="T53" i="5"/>
  <c r="J54" i="5"/>
  <c r="T50" i="5"/>
  <c r="T48" i="5"/>
  <c r="T46" i="5"/>
  <c r="T24" i="5"/>
  <c r="T26" i="5"/>
  <c r="T28" i="5"/>
  <c r="T30" i="5"/>
  <c r="T32" i="5"/>
  <c r="T44" i="5"/>
  <c r="T55" i="5"/>
  <c r="J50" i="5"/>
  <c r="J38" i="5"/>
  <c r="J42" i="5"/>
  <c r="T36" i="5"/>
  <c r="T40" i="5"/>
  <c r="T43" i="5"/>
  <c r="T12" i="5"/>
  <c r="T14" i="5"/>
  <c r="T16" i="5"/>
  <c r="T18" i="5"/>
  <c r="T20" i="5"/>
  <c r="T23" i="5"/>
  <c r="T25" i="5"/>
  <c r="T27" i="5"/>
  <c r="T29" i="5"/>
  <c r="T33" i="5"/>
  <c r="T39" i="5"/>
  <c r="J55" i="5"/>
  <c r="J51" i="5"/>
  <c r="J47" i="5"/>
  <c r="J11" i="5"/>
  <c r="T35" i="5"/>
  <c r="T38" i="5"/>
  <c r="T42" i="5"/>
  <c r="J32" i="5"/>
  <c r="J34" i="5"/>
  <c r="J30" i="5"/>
  <c r="J28" i="5"/>
  <c r="J27" i="5"/>
  <c r="J26" i="5"/>
  <c r="J25" i="5"/>
  <c r="J23" i="5"/>
  <c r="J24" i="5"/>
  <c r="J22" i="5"/>
  <c r="J12" i="5"/>
  <c r="J13" i="5"/>
  <c r="J19" i="5"/>
  <c r="J20" i="5"/>
  <c r="J18" i="5"/>
  <c r="J17" i="5"/>
  <c r="J15" i="5"/>
  <c r="J14" i="5"/>
  <c r="J44" i="5"/>
  <c r="J45" i="5"/>
  <c r="J46" i="5"/>
  <c r="I57" i="5"/>
  <c r="J52" i="5"/>
  <c r="J48" i="5"/>
  <c r="J53" i="5"/>
  <c r="J49" i="5"/>
  <c r="S57" i="5"/>
  <c r="T10" i="5"/>
  <c r="T22" i="5"/>
  <c r="T34" i="5"/>
  <c r="T10" i="2"/>
  <c r="V8" i="2" s="1"/>
  <c r="V175" i="2" l="1"/>
  <c r="L175" i="2"/>
  <c r="L176" i="2"/>
  <c r="V8" i="5"/>
  <c r="V79" i="5" s="1"/>
  <c r="L8" i="5"/>
  <c r="L79" i="5" s="1"/>
  <c r="V32" i="5"/>
  <c r="V81" i="5" s="1"/>
  <c r="L20" i="5"/>
  <c r="L80" i="5" s="1"/>
  <c r="L32" i="5"/>
  <c r="L81" i="5" s="1"/>
  <c r="V20" i="5"/>
  <c r="V80" i="5" s="1"/>
  <c r="L44" i="5"/>
  <c r="L82" i="5" s="1"/>
  <c r="V44" i="5"/>
  <c r="V82" i="5" s="1"/>
  <c r="N41" i="4"/>
  <c r="O41" i="4" s="1"/>
  <c r="P39" i="4"/>
  <c r="L42" i="4"/>
  <c r="M42" i="4"/>
  <c r="J57" i="5"/>
  <c r="U57" i="5"/>
  <c r="K57" i="5"/>
  <c r="T57" i="5"/>
  <c r="N42" i="4" l="1"/>
  <c r="O42" i="4" s="1"/>
  <c r="P41" i="4" s="1"/>
  <c r="M59" i="5"/>
  <c r="J147" i="2"/>
  <c r="R18" i="4"/>
  <c r="U18" i="4" l="1"/>
  <c r="S18" i="4"/>
  <c r="R33" i="4"/>
  <c r="R22" i="4"/>
  <c r="U22" i="4" s="1"/>
  <c r="R20" i="4"/>
  <c r="H59" i="5"/>
  <c r="C59" i="5"/>
  <c r="C61" i="5" s="1"/>
  <c r="D63" i="5" s="1"/>
  <c r="R59" i="5"/>
  <c r="N59" i="5"/>
  <c r="O59" i="5"/>
  <c r="D59" i="5"/>
  <c r="E59" i="5"/>
  <c r="J23" i="4"/>
  <c r="G23" i="4"/>
  <c r="L23" i="4" s="1"/>
  <c r="J22" i="4"/>
  <c r="G22" i="4"/>
  <c r="L22" i="4" s="1"/>
  <c r="J21" i="4"/>
  <c r="G21" i="4"/>
  <c r="J20" i="4"/>
  <c r="G20" i="4"/>
  <c r="J19" i="4"/>
  <c r="G19" i="4"/>
  <c r="L19" i="4" s="1"/>
  <c r="G18" i="4"/>
  <c r="L18" i="4" s="1"/>
  <c r="O153" i="2"/>
  <c r="N153" i="2"/>
  <c r="M153" i="2"/>
  <c r="E153" i="2"/>
  <c r="C153" i="2"/>
  <c r="D153" i="2"/>
  <c r="T149" i="2"/>
  <c r="T151" i="2"/>
  <c r="T147" i="2"/>
  <c r="J151" i="2"/>
  <c r="J149" i="2"/>
  <c r="U33" i="4" l="1"/>
  <c r="S33" i="4"/>
  <c r="S20" i="4"/>
  <c r="U20" i="4"/>
  <c r="R37" i="4"/>
  <c r="R35" i="4"/>
  <c r="S22" i="4"/>
  <c r="R26" i="4"/>
  <c r="R24" i="4"/>
  <c r="H61" i="5"/>
  <c r="D66" i="5" s="1"/>
  <c r="E61" i="5"/>
  <c r="D65" i="5" s="1"/>
  <c r="S59" i="5"/>
  <c r="D61" i="5"/>
  <c r="D64" i="5" s="1"/>
  <c r="I59" i="5"/>
  <c r="J146" i="2"/>
  <c r="J145" i="2"/>
  <c r="T146" i="2"/>
  <c r="T145" i="2"/>
  <c r="J144" i="2"/>
  <c r="J150" i="2"/>
  <c r="T144" i="2"/>
  <c r="T150" i="2"/>
  <c r="J148" i="2"/>
  <c r="T148" i="2"/>
  <c r="J142" i="2"/>
  <c r="N18" i="4"/>
  <c r="O18" i="4" s="1"/>
  <c r="N19" i="4"/>
  <c r="O19" i="4" s="1"/>
  <c r="L21" i="4"/>
  <c r="N21" i="4" s="1"/>
  <c r="O21" i="4" s="1"/>
  <c r="N22" i="4"/>
  <c r="O22" i="4" s="1"/>
  <c r="L20" i="4"/>
  <c r="N20" i="4" s="1"/>
  <c r="O20" i="4" s="1"/>
  <c r="N23" i="4"/>
  <c r="O23" i="4" s="1"/>
  <c r="T143" i="2"/>
  <c r="J143" i="2"/>
  <c r="S26" i="4" l="1"/>
  <c r="U26" i="4"/>
  <c r="S24" i="4"/>
  <c r="U24" i="4"/>
  <c r="U35" i="4"/>
  <c r="R39" i="4"/>
  <c r="S35" i="4"/>
  <c r="U37" i="4"/>
  <c r="R41" i="4"/>
  <c r="S37" i="4"/>
  <c r="V140" i="2"/>
  <c r="L140" i="2"/>
  <c r="L153" i="2" s="1"/>
  <c r="P22" i="4"/>
  <c r="I61" i="5"/>
  <c r="U153" i="2"/>
  <c r="P20" i="4"/>
  <c r="P18" i="4"/>
  <c r="V186" i="2" l="1"/>
  <c r="V153" i="2"/>
  <c r="L186" i="2"/>
  <c r="L187" i="2" s="1"/>
  <c r="L154" i="2"/>
  <c r="S39" i="4"/>
  <c r="U39" i="4"/>
  <c r="S41" i="4"/>
  <c r="U41" i="4"/>
  <c r="C155" i="2"/>
  <c r="V187" i="2" l="1"/>
  <c r="E3" i="7" s="1"/>
  <c r="C213" i="2"/>
  <c r="D3" i="7"/>
  <c r="D155" i="2"/>
  <c r="O155" i="2"/>
  <c r="M155" i="2"/>
  <c r="N155" i="2"/>
  <c r="R155" i="2"/>
  <c r="H155" i="2"/>
  <c r="E155" i="2"/>
  <c r="F3" i="7" l="1"/>
  <c r="F5" i="7" s="1"/>
  <c r="F6" i="7" s="1"/>
  <c r="C1" i="7" s="1"/>
  <c r="L5" i="4" s="1"/>
  <c r="L9" i="4" s="1"/>
  <c r="P5" i="4" s="1"/>
  <c r="V192" i="2"/>
  <c r="F213" i="2"/>
  <c r="H213" i="2"/>
  <c r="G213" i="2"/>
  <c r="D213" i="2"/>
  <c r="E213" i="2"/>
  <c r="O6" i="4"/>
  <c r="O7" i="4"/>
  <c r="S155" i="2"/>
  <c r="I155" i="2"/>
  <c r="P6" i="4" l="1"/>
  <c r="Q18" i="4" s="1"/>
  <c r="T18" i="4" s="1"/>
  <c r="P7" i="4"/>
  <c r="Q20" i="4" s="1"/>
  <c r="T20" i="4" s="1"/>
  <c r="F215" i="2"/>
  <c r="O9" i="4"/>
  <c r="P9" i="4" s="1"/>
  <c r="Q24" i="4" s="1"/>
  <c r="O8" i="4"/>
  <c r="P8" i="4" s="1"/>
  <c r="Q22" i="4" s="1"/>
  <c r="O10" i="4"/>
  <c r="P10" i="4" s="1"/>
  <c r="Q26" i="4" s="1"/>
  <c r="V26" i="4" s="1"/>
  <c r="V18" i="4" l="1"/>
  <c r="Q33" i="4"/>
  <c r="T33" i="4" s="1"/>
  <c r="Q35" i="4"/>
  <c r="V35" i="4" s="1"/>
  <c r="V20" i="4"/>
  <c r="Q37" i="4"/>
  <c r="T37" i="4" s="1"/>
  <c r="V22" i="4"/>
  <c r="V33" i="4"/>
  <c r="T24" i="4"/>
  <c r="V24" i="4"/>
  <c r="Q39" i="4"/>
  <c r="T39" i="4" s="1"/>
  <c r="T22" i="4"/>
  <c r="V37" i="4"/>
  <c r="Q29" i="4"/>
  <c r="T26" i="4"/>
  <c r="Q41" i="4"/>
  <c r="T41" i="4" s="1"/>
  <c r="Q28" i="4"/>
  <c r="T35" i="4" l="1"/>
  <c r="T43" i="4" s="1"/>
  <c r="D81" i="8" s="1"/>
  <c r="V28" i="4"/>
  <c r="D5" i="8" s="1"/>
  <c r="T28" i="4"/>
  <c r="T29" i="4" s="1"/>
  <c r="C7" i="4"/>
  <c r="V39" i="4"/>
  <c r="Q43" i="4"/>
  <c r="Q44" i="4"/>
  <c r="V41" i="4"/>
  <c r="V29" i="4" l="1"/>
  <c r="D5" i="6"/>
  <c r="J26" i="6" s="1"/>
  <c r="J32" i="6" s="1"/>
  <c r="J34" i="6" s="1"/>
  <c r="J26" i="8"/>
  <c r="J32" i="8" s="1"/>
  <c r="J34" i="8" s="1"/>
  <c r="D26" i="8"/>
  <c r="D32" i="8" s="1"/>
  <c r="D34" i="8" s="1"/>
  <c r="E5" i="8"/>
  <c r="G26" i="8"/>
  <c r="G32" i="8" s="1"/>
  <c r="G34" i="8" s="1"/>
  <c r="T44" i="4"/>
  <c r="V43" i="4"/>
  <c r="D82" i="8" s="1"/>
  <c r="D94" i="8" s="1"/>
  <c r="I127" i="8" s="1"/>
  <c r="K127" i="8" s="1"/>
  <c r="L127" i="8" s="1"/>
  <c r="M127" i="8" s="1"/>
  <c r="G26" i="6" l="1"/>
  <c r="G32" i="6" s="1"/>
  <c r="G34" i="6" s="1"/>
  <c r="D26" i="6"/>
  <c r="D32" i="6" s="1"/>
  <c r="D34" i="6" s="1"/>
  <c r="E5" i="6"/>
  <c r="D98" i="8"/>
  <c r="G105" i="8"/>
  <c r="G111" i="8" s="1"/>
  <c r="G113" i="8" s="1"/>
  <c r="N128" i="8"/>
  <c r="V44" i="4"/>
  <c r="O128" i="8" l="1"/>
  <c r="P128" i="8" s="1"/>
  <c r="I128" i="8"/>
  <c r="K128" i="8" s="1"/>
  <c r="L128" i="8" s="1"/>
  <c r="M128" i="8" s="1"/>
  <c r="D105" i="8"/>
  <c r="D111" i="8" s="1"/>
  <c r="D113" i="8" s="1"/>
</calcChain>
</file>

<file path=xl/sharedStrings.xml><?xml version="1.0" encoding="utf-8"?>
<sst xmlns="http://schemas.openxmlformats.org/spreadsheetml/2006/main" count="812" uniqueCount="279">
  <si>
    <t>Fecha:</t>
  </si>
  <si>
    <t>Hora</t>
  </si>
  <si>
    <t xml:space="preserve">  Livianos</t>
  </si>
  <si>
    <t xml:space="preserve"> Pesados </t>
  </si>
  <si>
    <t>VOLUMEN POR HORA</t>
  </si>
  <si>
    <t>FHP</t>
  </si>
  <si>
    <t>Bicicletas y Motos</t>
  </si>
  <si>
    <t>Autos y Busetas</t>
  </si>
  <si>
    <t>Buses</t>
  </si>
  <si>
    <t>Camiones</t>
  </si>
  <si>
    <t/>
  </si>
  <si>
    <t>UNIVERSIDAD DE CUENCA</t>
  </si>
  <si>
    <t xml:space="preserve"> Vía:</t>
  </si>
  <si>
    <t>AZOGUES - COJITAMBO - DELEG - LA RAYA.</t>
  </si>
  <si>
    <t>PAVIMENTO FLEXIBLE. CARPETA ASFÁLTIC A</t>
  </si>
  <si>
    <t>CONTEO DE TRÁFICO VOLUMETRICO.</t>
  </si>
  <si>
    <t>Sentido de Tráfico</t>
  </si>
  <si>
    <t>Azogues - Cojitambo</t>
  </si>
  <si>
    <t>Cojitambo - Azogues</t>
  </si>
  <si>
    <t>01 de Abril del 2017</t>
  </si>
  <si>
    <t xml:space="preserve">Tipo </t>
  </si>
  <si>
    <t>Peso</t>
  </si>
  <si>
    <t>L18</t>
  </si>
  <si>
    <t>L2s</t>
  </si>
  <si>
    <t>Lx</t>
  </si>
  <si>
    <t>L2x</t>
  </si>
  <si>
    <t>pt</t>
  </si>
  <si>
    <t>G</t>
  </si>
  <si>
    <t>SN</t>
  </si>
  <si>
    <t>Bx</t>
  </si>
  <si>
    <t>B18</t>
  </si>
  <si>
    <t>Wx/W18</t>
  </si>
  <si>
    <t>Factor equivalencia de carga</t>
  </si>
  <si>
    <t>Factor Camion</t>
  </si>
  <si>
    <t>2D</t>
  </si>
  <si>
    <t>B2</t>
  </si>
  <si>
    <t>2DA</t>
  </si>
  <si>
    <t>num vehiculos</t>
  </si>
  <si>
    <t>r</t>
  </si>
  <si>
    <t xml:space="preserve">Total de vehiculos </t>
  </si>
  <si>
    <t>Total vehiculos Pesados</t>
  </si>
  <si>
    <t>Motos</t>
  </si>
  <si>
    <t>Autos</t>
  </si>
  <si>
    <t>AUTOS</t>
  </si>
  <si>
    <t>BUSES</t>
  </si>
  <si>
    <t>CAMIONES</t>
  </si>
  <si>
    <t>Camión</t>
  </si>
  <si>
    <t>n</t>
  </si>
  <si>
    <t>Periodo de diseño</t>
  </si>
  <si>
    <t>FL</t>
  </si>
  <si>
    <t>Factor de distribucion de carril</t>
  </si>
  <si>
    <t>FD</t>
  </si>
  <si>
    <t>Factor de distribucion por dirección</t>
  </si>
  <si>
    <t>%VC</t>
  </si>
  <si>
    <t>Fe</t>
  </si>
  <si>
    <t>factor camion</t>
  </si>
  <si>
    <t>Fp</t>
  </si>
  <si>
    <t>factor de proyeccion</t>
  </si>
  <si>
    <t>Correccion del trafico proyectado</t>
  </si>
  <si>
    <t>Zr</t>
  </si>
  <si>
    <t>s</t>
  </si>
  <si>
    <t>B</t>
  </si>
  <si>
    <t>Factor de Proyección 20 años</t>
  </si>
  <si>
    <t>NEE                   20 años</t>
  </si>
  <si>
    <t>Totales</t>
  </si>
  <si>
    <t>TPD</t>
  </si>
  <si>
    <t>Mes</t>
  </si>
  <si>
    <t>No Días</t>
  </si>
  <si>
    <t>No Sem.</t>
  </si>
  <si>
    <t>FS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</si>
  <si>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</si>
  <si>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</si>
  <si>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</si>
  <si>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</si>
  <si>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</si>
  <si>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</si>
  <si>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</si>
  <si>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</si>
  <si>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</si>
  <si>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</si>
  <si>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</si>
  <si>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</si>
  <si>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</si>
  <si>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Población</t>
  </si>
  <si>
    <t>Tasa de crecimiento</t>
  </si>
  <si>
    <t>Factor Semanal</t>
  </si>
  <si>
    <t>Consumo de Combustible en la Provincia del Cañar</t>
  </si>
  <si>
    <t>EXTRA</t>
  </si>
  <si>
    <t>SUPER</t>
  </si>
  <si>
    <t>DIESEL</t>
  </si>
  <si>
    <t>TOTAL</t>
  </si>
  <si>
    <t>FM</t>
  </si>
  <si>
    <t>MES</t>
  </si>
  <si>
    <t>PROMEDIO</t>
  </si>
  <si>
    <t>Factor Mensual</t>
  </si>
  <si>
    <t>Factor Horario</t>
  </si>
  <si>
    <t>Factor Diario</t>
  </si>
  <si>
    <t>Año</t>
  </si>
  <si>
    <t>1 grande</t>
  </si>
  <si>
    <t xml:space="preserve">1voqueta </t>
  </si>
  <si>
    <t>1 grande 1 volquet</t>
  </si>
  <si>
    <t>volquetas</t>
  </si>
  <si>
    <t>2DB</t>
  </si>
  <si>
    <t>Volquete</t>
  </si>
  <si>
    <t>V3A</t>
  </si>
  <si>
    <t>VEHICULOS</t>
  </si>
  <si>
    <t xml:space="preserve">TPDA </t>
  </si>
  <si>
    <t>Niv. Conf.</t>
  </si>
  <si>
    <t>% VEHICULOS COMERCIALES (buses y camiones)</t>
  </si>
  <si>
    <t>Factor horario</t>
  </si>
  <si>
    <t>TPD (OBS)</t>
  </si>
  <si>
    <t>VOLQUETES</t>
  </si>
  <si>
    <t>Datos</t>
  </si>
  <si>
    <t>W18</t>
  </si>
  <si>
    <r>
      <t xml:space="preserve">Índice de servicio final, </t>
    </r>
    <r>
      <rPr>
        <i/>
        <sz val="11"/>
        <rFont val="Calibri"/>
        <family val="2"/>
        <scheme val="minor"/>
      </rPr>
      <t>po</t>
    </r>
  </si>
  <si>
    <t>Po</t>
  </si>
  <si>
    <r>
      <t xml:space="preserve">Índice de servicio final, </t>
    </r>
    <r>
      <rPr>
        <i/>
        <sz val="11"/>
        <rFont val="Calibri"/>
        <family val="2"/>
        <scheme val="minor"/>
      </rPr>
      <t xml:space="preserve">pt </t>
    </r>
  </si>
  <si>
    <t>Pt</t>
  </si>
  <si>
    <t>Error normal estándar  S0</t>
  </si>
  <si>
    <t>So</t>
  </si>
  <si>
    <t>% confianza</t>
  </si>
  <si>
    <t>%c</t>
  </si>
  <si>
    <t xml:space="preserve">Nivel de Confianza </t>
  </si>
  <si>
    <t>ZR</t>
  </si>
  <si>
    <t>ingresa a la ecuacion con valor negativo</t>
  </si>
  <si>
    <t>MR (psi)</t>
  </si>
  <si>
    <t>Subrasante</t>
  </si>
  <si>
    <t>Subbase</t>
  </si>
  <si>
    <t>Abaco Subase Coeficiente a3</t>
  </si>
  <si>
    <t>Base</t>
  </si>
  <si>
    <t>Abaco base granular  Coeficiente a2</t>
  </si>
  <si>
    <t>DETERMINAR EL NUMERO ESTRUCTURAL DE LA SUBRASANTE BASE SUBASE</t>
  </si>
  <si>
    <t>SUBRASANTE</t>
  </si>
  <si>
    <t>SUBBASE</t>
  </si>
  <si>
    <t>BASE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</si>
  <si>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PSI</t>
    </r>
  </si>
  <si>
    <t>MR</t>
  </si>
  <si>
    <t>log (w18)</t>
  </si>
  <si>
    <t>error</t>
  </si>
  <si>
    <t>SN1</t>
  </si>
  <si>
    <t>SN2</t>
  </si>
  <si>
    <t>SN3</t>
  </si>
  <si>
    <t>CAPA DE RODADURA</t>
  </si>
  <si>
    <t>M. elastico</t>
  </si>
  <si>
    <t>psi</t>
  </si>
  <si>
    <t>MODULO ELASTICO DE LA MEZCLA DENSA EN CALIENTE DEL ENSAYO MARSHALL</t>
  </si>
  <si>
    <t>DETERMINACION DEL COEFICIENTE DE CAPA</t>
  </si>
  <si>
    <t>a1</t>
  </si>
  <si>
    <t>a2</t>
  </si>
  <si>
    <t>a3</t>
  </si>
  <si>
    <t>D1* (asumido)</t>
  </si>
  <si>
    <t>pulg</t>
  </si>
  <si>
    <t>cm</t>
  </si>
  <si>
    <t>D1</t>
  </si>
  <si>
    <t>SN1*</t>
  </si>
  <si>
    <t>Cumple</t>
  </si>
  <si>
    <t>m2=m3</t>
  </si>
  <si>
    <t>D2* (asumido)</t>
  </si>
  <si>
    <t>D2</t>
  </si>
  <si>
    <t>SN2*</t>
  </si>
  <si>
    <t>SN1*+SN2*</t>
  </si>
  <si>
    <t>D3* (asumido)</t>
  </si>
  <si>
    <t>D3*</t>
  </si>
  <si>
    <t>Espresor de Pavimento</t>
  </si>
  <si>
    <t xml:space="preserve">Concreto Asfaltico </t>
  </si>
  <si>
    <t>Base Granular</t>
  </si>
  <si>
    <t>Subase Granular</t>
  </si>
  <si>
    <t xml:space="preserve">Transito de Diseño a 20 años </t>
  </si>
  <si>
    <t>Error normal estándar  S1</t>
  </si>
  <si>
    <t>% c</t>
  </si>
  <si>
    <t>DETERMINAR EL NUMERO ESTRUCTURAL DE LA SUBRASANTE EN FUNCION DE LOS DATOS PROPORCIONADOS</t>
  </si>
  <si>
    <t>20 años</t>
  </si>
  <si>
    <t>Np</t>
  </si>
  <si>
    <t>N1.5</t>
  </si>
  <si>
    <t>RL</t>
  </si>
  <si>
    <t>CF</t>
  </si>
  <si>
    <t>Sneff</t>
  </si>
  <si>
    <t>Asumido   (cm)</t>
  </si>
  <si>
    <t>TOTAL PAÍS</t>
  </si>
  <si>
    <t xml:space="preserve">REGIÓN SIERRA </t>
  </si>
  <si>
    <t>AZUAY</t>
  </si>
  <si>
    <t>BOLÍVAR</t>
  </si>
  <si>
    <t>CAÑAR</t>
  </si>
  <si>
    <t>CARCHI</t>
  </si>
  <si>
    <t>COTOPAXI</t>
  </si>
  <si>
    <t>CHIMBORAZO</t>
  </si>
  <si>
    <t>IMBABURA</t>
  </si>
  <si>
    <t>LOJA</t>
  </si>
  <si>
    <t>PICHINCHA</t>
  </si>
  <si>
    <t>TUNGURAHUA</t>
  </si>
  <si>
    <t>SANTO DOMINGO</t>
  </si>
  <si>
    <t>AZOGUES</t>
  </si>
  <si>
    <t>SN3*</t>
  </si>
  <si>
    <t>Factor de Proyección 10 años</t>
  </si>
  <si>
    <t xml:space="preserve">Cojitambo - Azogues </t>
  </si>
  <si>
    <t xml:space="preserve">TOTAL </t>
  </si>
  <si>
    <t>Tráfico. (15 min)</t>
  </si>
  <si>
    <t>Volquetas</t>
  </si>
  <si>
    <t>Porcentajes</t>
  </si>
  <si>
    <t>12 de Abril del 2017</t>
  </si>
  <si>
    <t>TPD (Observado)</t>
  </si>
  <si>
    <t>TPD (24 horas)</t>
  </si>
  <si>
    <t>TPD (12 horas)</t>
  </si>
  <si>
    <t>%Vehículos</t>
  </si>
  <si>
    <t>Flujo (veh/hora)</t>
  </si>
  <si>
    <t>Clasificación</t>
  </si>
  <si>
    <t xml:space="preserve">Flujo (veh/hora) </t>
  </si>
  <si>
    <t xml:space="preserve"> FHP (promedio)</t>
  </si>
  <si>
    <t>01 de Abril</t>
  </si>
  <si>
    <t>12 de Abril</t>
  </si>
  <si>
    <t>Fecha</t>
  </si>
  <si>
    <t>flujo maximo</t>
  </si>
  <si>
    <t>Primer conteo</t>
  </si>
  <si>
    <t>Segundo Conteo</t>
  </si>
  <si>
    <t xml:space="preserve"> FHP</t>
  </si>
  <si>
    <t xml:space="preserve"> FHP </t>
  </si>
  <si>
    <t>CONTEO</t>
  </si>
  <si>
    <t>FHP (PROM)</t>
  </si>
  <si>
    <t>FH</t>
  </si>
  <si>
    <t>Factores de Trafico</t>
  </si>
  <si>
    <t>a</t>
  </si>
  <si>
    <t>AÑO</t>
  </si>
  <si>
    <t>Factor de Proy. 20 años</t>
  </si>
  <si>
    <t>VOLQUETE</t>
  </si>
  <si>
    <t>CAMION</t>
  </si>
  <si>
    <t>MATERIAL</t>
  </si>
  <si>
    <t>CBR (%)</t>
  </si>
  <si>
    <t>COEFICIENTE DE CAPA</t>
  </si>
  <si>
    <t>˄</t>
  </si>
  <si>
    <t>Desccripción</t>
  </si>
  <si>
    <t>Simbología</t>
  </si>
  <si>
    <t>Valor</t>
  </si>
  <si>
    <t>Carpeta</t>
  </si>
  <si>
    <t>Pérdida de Serviciavilidad</t>
  </si>
  <si>
    <t>DPSI</t>
  </si>
  <si>
    <t>Módulo resiliente subrazante</t>
  </si>
  <si>
    <t>Módulo resiliente subbase</t>
  </si>
  <si>
    <t>Módulo resiliente base</t>
  </si>
  <si>
    <r>
      <t>MR</t>
    </r>
    <r>
      <rPr>
        <vertAlign val="subscript"/>
        <sz val="11"/>
        <color theme="1"/>
        <rFont val="Calibri"/>
        <family val="2"/>
        <scheme val="minor"/>
      </rPr>
      <t>Subrazante</t>
    </r>
  </si>
  <si>
    <r>
      <t>MR</t>
    </r>
    <r>
      <rPr>
        <vertAlign val="subscript"/>
        <sz val="11"/>
        <color theme="1"/>
        <rFont val="Calibri"/>
        <family val="2"/>
        <scheme val="minor"/>
      </rPr>
      <t>Subbase</t>
    </r>
  </si>
  <si>
    <r>
      <t>MR</t>
    </r>
    <r>
      <rPr>
        <vertAlign val="subscript"/>
        <sz val="11"/>
        <color theme="1"/>
        <rFont val="Calibri"/>
        <family val="2"/>
        <scheme val="minor"/>
      </rPr>
      <t>Base</t>
    </r>
  </si>
  <si>
    <t>Número estructural subrazante</t>
  </si>
  <si>
    <t>Número estructural subbase</t>
  </si>
  <si>
    <t>Número estructural base</t>
  </si>
  <si>
    <r>
      <t>SN</t>
    </r>
    <r>
      <rPr>
        <vertAlign val="subscript"/>
        <sz val="11"/>
        <color theme="1"/>
        <rFont val="Calibri"/>
        <family val="2"/>
        <scheme val="minor"/>
      </rPr>
      <t>1</t>
    </r>
  </si>
  <si>
    <r>
      <t>SN</t>
    </r>
    <r>
      <rPr>
        <vertAlign val="subscript"/>
        <sz val="11"/>
        <color theme="1"/>
        <rFont val="Calibri"/>
        <family val="2"/>
        <scheme val="minor"/>
      </rPr>
      <t>2</t>
    </r>
  </si>
  <si>
    <r>
      <t>SN</t>
    </r>
    <r>
      <rPr>
        <vertAlign val="subscript"/>
        <sz val="11"/>
        <color theme="1"/>
        <rFont val="Calibri"/>
        <family val="2"/>
        <scheme val="minor"/>
      </rPr>
      <t>3</t>
    </r>
  </si>
  <si>
    <t>Periodo de Diseño (años)</t>
  </si>
  <si>
    <t xml:space="preserve">Trafico de Diseño </t>
  </si>
  <si>
    <t>Espresor de Carpeta Asfáltica.</t>
  </si>
  <si>
    <t>Espresor de Base.</t>
  </si>
  <si>
    <t>Espresor de Subbase.</t>
  </si>
  <si>
    <t xml:space="preserve">Estructura del pavimento </t>
  </si>
  <si>
    <r>
      <t xml:space="preserve">Índice de servicio  a la falla, </t>
    </r>
    <r>
      <rPr>
        <i/>
        <sz val="11"/>
        <rFont val="Calibri"/>
        <family val="2"/>
        <scheme val="minor"/>
      </rPr>
      <t xml:space="preserve">pt </t>
    </r>
  </si>
  <si>
    <t>NP1.5</t>
  </si>
  <si>
    <t>NP</t>
  </si>
  <si>
    <t>Número ESAL Actual</t>
  </si>
  <si>
    <t>Número ESAL a la falla</t>
  </si>
  <si>
    <t>10 años</t>
  </si>
  <si>
    <t xml:space="preserve">Diseño por etapas 10 - 20 </t>
  </si>
  <si>
    <t xml:space="preserve">Transito de Diseño a 10 años </t>
  </si>
  <si>
    <t>Factor de Proy. 10 años</t>
  </si>
  <si>
    <t>Rehabilitación 20 años</t>
  </si>
  <si>
    <t>Rehabilitación 10 años</t>
  </si>
  <si>
    <t>Periodo de diseño etapas</t>
  </si>
  <si>
    <t>NEE                   10 años</t>
  </si>
  <si>
    <t>Actual</t>
  </si>
  <si>
    <t>h</t>
  </si>
  <si>
    <t>hp</t>
  </si>
  <si>
    <r>
      <rPr>
        <sz val="11"/>
        <color theme="1"/>
        <rFont val="Calibri"/>
        <family val="2"/>
        <scheme val="minor"/>
      </rPr>
      <t>E</t>
    </r>
    <r>
      <rPr>
        <vertAlign val="subscript"/>
        <sz val="11"/>
        <color theme="1"/>
        <rFont val="Calibri"/>
        <family val="2"/>
        <scheme val="minor"/>
      </rPr>
      <t>p</t>
    </r>
  </si>
  <si>
    <r>
      <t>Sn</t>
    </r>
    <r>
      <rPr>
        <vertAlign val="subscript"/>
        <sz val="11"/>
        <color theme="1"/>
        <rFont val="Calibri"/>
        <family val="2"/>
        <scheme val="minor"/>
      </rPr>
      <t>eff</t>
    </r>
  </si>
  <si>
    <t>Módulo Elastico Asfalto</t>
  </si>
  <si>
    <t>SNol</t>
  </si>
  <si>
    <t>Pérdida de Serviciavilidad (falla)</t>
  </si>
  <si>
    <t>TPD (Dos direcciones)</t>
  </si>
  <si>
    <t>Espresor de Carpeta Asfaltica Actual (cm)</t>
  </si>
  <si>
    <t>Espresor de Carpeta Asfaltica Actual (pulg)</t>
  </si>
  <si>
    <t>Trafico Total (Veh/hora)</t>
  </si>
  <si>
    <t>TPD (Observado) (dos direcciones)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</si>
</sst>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000"/>
    <numFmt numFmtId="168" formatCode="[$-F400]h:mm:ss\ AM/PM"/>
    <numFmt numFmtId="169" formatCode="0.000E+00"/>
    <numFmt numFmtId="170" formatCode="General_)"/>
    <numFmt numFmtId="171" formatCode="_-* #,##0.00\ &quot;pta&quot;_-;\-* #,##0.00\ &quot;pta&quot;_-;_-* &quot;-&quot;??\ &quot;pta&quot;_-;_-@_-"/>
    <numFmt numFmtId="172" formatCode="_(* #,##0.000_);_(* \(#,##0.000\);_(* &quot;-&quot;??_);_(@_)"/>
    <numFmt numFmtId="173" formatCode="0.0"/>
    <numFmt numFmtId="174" formatCode="0.000000"/>
    <numFmt numFmtId="175" formatCode="_ * #,##0.000_ ;_ * \-#,##0.000_ ;_ * &quot;-&quot;??_ ;_ @_ 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Symbol"/>
      <family val="1"/>
      <charset val="2"/>
    </font>
    <font>
      <sz val="1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haroni"/>
      <family val="2"/>
    </font>
    <font>
      <sz val="10"/>
      <name val="Courier"/>
      <family val="3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Courier"/>
      <family val="3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E7F4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8" fillId="0" borderId="0"/>
    <xf numFmtId="13" fontId="3" fillId="0" borderId="0" applyFont="0" applyFill="0" applyProtection="0"/>
    <xf numFmtId="170" fontId="19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171" fontId="3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</cellStyleXfs>
  <cellXfs count="892">
    <xf numFmtId="0" fontId="0" fillId="0" borderId="0" xfId="0"/>
    <xf numFmtId="0" fontId="4" fillId="0" borderId="10" xfId="3" applyFont="1" applyFill="1" applyBorder="1" applyAlignment="1">
      <alignment horizontal="center" vertical="center" textRotation="90" wrapText="1"/>
    </xf>
    <xf numFmtId="0" fontId="4" fillId="0" borderId="12" xfId="3" applyFont="1" applyFill="1" applyBorder="1" applyAlignment="1">
      <alignment horizontal="center" vertical="center" textRotation="90" wrapText="1"/>
    </xf>
    <xf numFmtId="0" fontId="4" fillId="0" borderId="12" xfId="3" applyFont="1" applyFill="1" applyBorder="1" applyAlignment="1">
      <alignment horizontal="center" vertical="center" textRotation="90"/>
    </xf>
    <xf numFmtId="0" fontId="3" fillId="0" borderId="15" xfId="3" applyNumberFormat="1" applyFont="1" applyFill="1" applyBorder="1"/>
    <xf numFmtId="165" fontId="3" fillId="0" borderId="6" xfId="1" applyNumberFormat="1" applyFont="1" applyFill="1" applyBorder="1"/>
    <xf numFmtId="165" fontId="3" fillId="0" borderId="17" xfId="1" applyNumberFormat="1" applyFont="1" applyFill="1" applyBorder="1"/>
    <xf numFmtId="165" fontId="3" fillId="0" borderId="18" xfId="1" applyNumberFormat="1" applyFont="1" applyFill="1" applyBorder="1"/>
    <xf numFmtId="0" fontId="3" fillId="0" borderId="19" xfId="3" applyNumberFormat="1" applyFont="1" applyFill="1" applyBorder="1"/>
    <xf numFmtId="164" fontId="3" fillId="0" borderId="18" xfId="1" applyNumberFormat="1" applyFont="1" applyFill="1" applyBorder="1"/>
    <xf numFmtId="0" fontId="0" fillId="0" borderId="18" xfId="0" applyBorder="1"/>
    <xf numFmtId="0" fontId="9" fillId="0" borderId="18" xfId="0" applyFont="1" applyBorder="1" applyAlignment="1">
      <alignment horizontal="left" vertical="top"/>
    </xf>
    <xf numFmtId="0" fontId="9" fillId="0" borderId="16" xfId="0" applyFont="1" applyBorder="1" applyAlignment="1">
      <alignment vertical="top"/>
    </xf>
    <xf numFmtId="0" fontId="3" fillId="0" borderId="18" xfId="3" applyNumberFormat="1" applyFont="1" applyFill="1" applyBorder="1"/>
    <xf numFmtId="0" fontId="3" fillId="0" borderId="17" xfId="3" applyNumberFormat="1" applyFont="1" applyFill="1" applyBorder="1"/>
    <xf numFmtId="0" fontId="9" fillId="0" borderId="19" xfId="0" applyFont="1" applyBorder="1" applyAlignment="1">
      <alignment vertical="top"/>
    </xf>
    <xf numFmtId="0" fontId="5" fillId="0" borderId="12" xfId="3" applyFont="1" applyFill="1" applyBorder="1" applyAlignment="1">
      <alignment vertical="center" textRotation="90" wrapText="1"/>
    </xf>
    <xf numFmtId="0" fontId="5" fillId="0" borderId="14" xfId="3" applyFont="1" applyFill="1" applyBorder="1" applyAlignment="1">
      <alignment vertical="center" textRotation="90" wrapText="1"/>
    </xf>
    <xf numFmtId="0" fontId="0" fillId="0" borderId="26" xfId="0" applyBorder="1"/>
    <xf numFmtId="0" fontId="0" fillId="0" borderId="27" xfId="0" applyBorder="1"/>
    <xf numFmtId="0" fontId="3" fillId="0" borderId="10" xfId="3" applyNumberFormat="1" applyFont="1" applyFill="1" applyBorder="1"/>
    <xf numFmtId="0" fontId="3" fillId="0" borderId="12" xfId="3" applyNumberFormat="1" applyFont="1" applyFill="1" applyBorder="1"/>
    <xf numFmtId="165" fontId="3" fillId="0" borderId="12" xfId="1" applyNumberFormat="1" applyFont="1" applyFill="1" applyBorder="1"/>
    <xf numFmtId="164" fontId="3" fillId="0" borderId="12" xfId="1" applyNumberFormat="1" applyFont="1" applyFill="1" applyBorder="1"/>
    <xf numFmtId="0" fontId="0" fillId="0" borderId="14" xfId="0" applyBorder="1"/>
    <xf numFmtId="0" fontId="0" fillId="0" borderId="17" xfId="0" applyBorder="1"/>
    <xf numFmtId="0" fontId="0" fillId="0" borderId="34" xfId="0" applyFill="1" applyBorder="1"/>
    <xf numFmtId="0" fontId="0" fillId="0" borderId="12" xfId="0" applyBorder="1"/>
    <xf numFmtId="0" fontId="0" fillId="0" borderId="24" xfId="0" applyBorder="1"/>
    <xf numFmtId="0" fontId="0" fillId="0" borderId="19" xfId="0" applyBorder="1"/>
    <xf numFmtId="0" fontId="0" fillId="0" borderId="45" xfId="0" applyBorder="1"/>
    <xf numFmtId="0" fontId="0" fillId="0" borderId="32" xfId="0" applyBorder="1"/>
    <xf numFmtId="165" fontId="3" fillId="0" borderId="32" xfId="1" applyNumberFormat="1" applyFont="1" applyFill="1" applyBorder="1"/>
    <xf numFmtId="0" fontId="0" fillId="0" borderId="6" xfId="0" applyBorder="1"/>
    <xf numFmtId="165" fontId="0" fillId="0" borderId="35" xfId="0" applyNumberFormat="1" applyBorder="1"/>
    <xf numFmtId="165" fontId="0" fillId="0" borderId="37" xfId="0" applyNumberFormat="1" applyBorder="1"/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6" xfId="0" applyFill="1" applyBorder="1"/>
    <xf numFmtId="167" fontId="0" fillId="0" borderId="6" xfId="0" applyNumberFormat="1" applyFill="1" applyBorder="1"/>
    <xf numFmtId="166" fontId="0" fillId="0" borderId="6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0" fillId="0" borderId="32" xfId="0" applyFill="1" applyBorder="1"/>
    <xf numFmtId="167" fontId="0" fillId="0" borderId="32" xfId="0" applyNumberFormat="1" applyFill="1" applyBorder="1"/>
    <xf numFmtId="166" fontId="0" fillId="0" borderId="32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0" fontId="0" fillId="0" borderId="12" xfId="0" applyFill="1" applyBorder="1"/>
    <xf numFmtId="167" fontId="0" fillId="0" borderId="12" xfId="0" applyNumberFormat="1" applyFill="1" applyBorder="1"/>
    <xf numFmtId="166" fontId="0" fillId="0" borderId="1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40" xfId="0" applyBorder="1"/>
    <xf numFmtId="0" fontId="0" fillId="2" borderId="6" xfId="0" applyFill="1" applyBorder="1" applyAlignment="1">
      <alignment wrapText="1"/>
    </xf>
    <xf numFmtId="0" fontId="2" fillId="4" borderId="26" xfId="0" applyNumberFormat="1" applyFont="1" applyFill="1" applyBorder="1"/>
    <xf numFmtId="0" fontId="2" fillId="4" borderId="3" xfId="0" applyNumberFormat="1" applyFont="1" applyFill="1" applyBorder="1"/>
    <xf numFmtId="166" fontId="0" fillId="0" borderId="18" xfId="0" applyNumberFormat="1" applyBorder="1"/>
    <xf numFmtId="0" fontId="0" fillId="0" borderId="0" xfId="0" applyBorder="1"/>
    <xf numFmtId="0" fontId="0" fillId="5" borderId="18" xfId="0" applyFill="1" applyBorder="1"/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2" xfId="0" applyBorder="1"/>
    <xf numFmtId="0" fontId="0" fillId="0" borderId="8" xfId="0" applyBorder="1"/>
    <xf numFmtId="0" fontId="10" fillId="0" borderId="9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12" xfId="0" applyNumberFormat="1" applyBorder="1"/>
    <xf numFmtId="0" fontId="0" fillId="0" borderId="14" xfId="0" applyBorder="1" applyAlignment="1">
      <alignment horizontal="center"/>
    </xf>
    <xf numFmtId="165" fontId="3" fillId="0" borderId="7" xfId="1" applyNumberFormat="1" applyFont="1" applyFill="1" applyBorder="1"/>
    <xf numFmtId="0" fontId="0" fillId="0" borderId="4" xfId="0" applyBorder="1"/>
    <xf numFmtId="0" fontId="0" fillId="0" borderId="10" xfId="0" applyBorder="1"/>
    <xf numFmtId="0" fontId="0" fillId="0" borderId="20" xfId="0" applyBorder="1"/>
    <xf numFmtId="165" fontId="3" fillId="0" borderId="4" xfId="1" applyNumberFormat="1" applyFont="1" applyFill="1" applyBorder="1"/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9" xfId="0" applyBorder="1"/>
    <xf numFmtId="164" fontId="2" fillId="2" borderId="37" xfId="0" applyNumberFormat="1" applyFont="1" applyFill="1" applyBorder="1"/>
    <xf numFmtId="165" fontId="3" fillId="0" borderId="10" xfId="1" applyNumberFormat="1" applyFont="1" applyFill="1" applyBorder="1"/>
    <xf numFmtId="168" fontId="3" fillId="0" borderId="4" xfId="3" applyNumberFormat="1" applyFont="1" applyFill="1" applyBorder="1"/>
    <xf numFmtId="168" fontId="3" fillId="0" borderId="9" xfId="3" applyNumberFormat="1" applyFont="1" applyFill="1" applyBorder="1"/>
    <xf numFmtId="168" fontId="3" fillId="0" borderId="15" xfId="3" applyNumberFormat="1" applyFont="1" applyFill="1" applyBorder="1"/>
    <xf numFmtId="168" fontId="3" fillId="0" borderId="27" xfId="3" applyNumberFormat="1" applyFont="1" applyFill="1" applyBorder="1"/>
    <xf numFmtId="168" fontId="3" fillId="0" borderId="26" xfId="3" applyNumberFormat="1" applyFont="1" applyFill="1" applyBorder="1"/>
    <xf numFmtId="168" fontId="3" fillId="0" borderId="48" xfId="3" applyNumberFormat="1" applyFont="1" applyFill="1" applyBorder="1"/>
    <xf numFmtId="168" fontId="3" fillId="0" borderId="14" xfId="3" applyNumberFormat="1" applyFont="1" applyFill="1" applyBorder="1"/>
    <xf numFmtId="168" fontId="3" fillId="0" borderId="43" xfId="3" applyNumberFormat="1" applyFont="1" applyFill="1" applyBorder="1"/>
    <xf numFmtId="168" fontId="3" fillId="0" borderId="50" xfId="3" applyNumberFormat="1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6" xfId="0" applyFill="1" applyBorder="1" applyAlignment="1">
      <alignment horizontal="center" vertical="center"/>
    </xf>
    <xf numFmtId="168" fontId="3" fillId="0" borderId="5" xfId="3" applyNumberFormat="1" applyFont="1" applyFill="1" applyBorder="1"/>
    <xf numFmtId="168" fontId="3" fillId="0" borderId="20" xfId="3" applyNumberFormat="1" applyFont="1" applyFill="1" applyBorder="1"/>
    <xf numFmtId="168" fontId="3" fillId="0" borderId="16" xfId="3" applyNumberFormat="1" applyFont="1" applyFill="1" applyBorder="1"/>
    <xf numFmtId="168" fontId="3" fillId="0" borderId="11" xfId="3" applyNumberFormat="1" applyFont="1" applyFill="1" applyBorder="1"/>
    <xf numFmtId="0" fontId="9" fillId="0" borderId="23" xfId="0" applyFont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166" fontId="0" fillId="0" borderId="27" xfId="0" applyNumberFormat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6" fontId="0" fillId="2" borderId="27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31" xfId="0" applyBorder="1"/>
    <xf numFmtId="0" fontId="0" fillId="0" borderId="53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2" borderId="69" xfId="0" applyFill="1" applyBorder="1" applyAlignment="1">
      <alignment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6" xfId="0" applyNumberFormat="1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1" fontId="0" fillId="0" borderId="12" xfId="0" applyNumberFormat="1" applyBorder="1"/>
    <xf numFmtId="1" fontId="0" fillId="0" borderId="3" xfId="0" applyNumberFormat="1" applyBorder="1"/>
    <xf numFmtId="1" fontId="2" fillId="0" borderId="31" xfId="0" applyNumberFormat="1" applyFont="1" applyBorder="1" applyAlignment="1">
      <alignment horizontal="center" vertical="center"/>
    </xf>
    <xf numFmtId="1" fontId="0" fillId="0" borderId="49" xfId="0" applyNumberFormat="1" applyBorder="1"/>
    <xf numFmtId="0" fontId="2" fillId="0" borderId="53" xfId="0" applyFont="1" applyBorder="1" applyAlignment="1">
      <alignment vertical="center"/>
    </xf>
    <xf numFmtId="166" fontId="0" fillId="2" borderId="27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0" fillId="6" borderId="0" xfId="0" applyFill="1"/>
    <xf numFmtId="0" fontId="0" fillId="0" borderId="10" xfId="0" applyFill="1" applyBorder="1"/>
    <xf numFmtId="0" fontId="0" fillId="0" borderId="0" xfId="0" applyFill="1" applyBorder="1"/>
    <xf numFmtId="0" fontId="0" fillId="0" borderId="0" xfId="0" applyBorder="1" applyAlignment="1"/>
    <xf numFmtId="166" fontId="0" fillId="0" borderId="0" xfId="0" applyNumberFormat="1" applyBorder="1"/>
    <xf numFmtId="0" fontId="0" fillId="2" borderId="54" xfId="0" applyFill="1" applyBorder="1" applyAlignment="1">
      <alignment vertical="center" wrapText="1"/>
    </xf>
    <xf numFmtId="0" fontId="0" fillId="0" borderId="13" xfId="0" applyFill="1" applyBorder="1"/>
    <xf numFmtId="0" fontId="0" fillId="0" borderId="31" xfId="0" applyFill="1" applyBorder="1"/>
    <xf numFmtId="0" fontId="0" fillId="0" borderId="45" xfId="0" applyFill="1" applyBorder="1"/>
    <xf numFmtId="0" fontId="0" fillId="0" borderId="49" xfId="0" applyBorder="1"/>
    <xf numFmtId="0" fontId="0" fillId="0" borderId="0" xfId="0"/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19" xfId="0" applyBorder="1"/>
    <xf numFmtId="0" fontId="0" fillId="0" borderId="10" xfId="0" applyBorder="1"/>
    <xf numFmtId="0" fontId="0" fillId="0" borderId="12" xfId="0" applyBorder="1"/>
    <xf numFmtId="0" fontId="0" fillId="0" borderId="0" xfId="0" applyFill="1"/>
    <xf numFmtId="0" fontId="0" fillId="0" borderId="4" xfId="0" applyBorder="1"/>
    <xf numFmtId="2" fontId="0" fillId="0" borderId="27" xfId="0" applyNumberFormat="1" applyBorder="1"/>
    <xf numFmtId="0" fontId="0" fillId="0" borderId="0" xfId="0" applyBorder="1"/>
    <xf numFmtId="0" fontId="0" fillId="0" borderId="0" xfId="0" applyFill="1" applyBorder="1"/>
    <xf numFmtId="166" fontId="0" fillId="0" borderId="0" xfId="0" applyNumberFormat="1"/>
    <xf numFmtId="166" fontId="0" fillId="0" borderId="18" xfId="0" applyNumberFormat="1" applyBorder="1"/>
    <xf numFmtId="0" fontId="0" fillId="0" borderId="13" xfId="0" applyBorder="1"/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7" borderId="0" xfId="0" applyFill="1"/>
    <xf numFmtId="0" fontId="0" fillId="0" borderId="14" xfId="0" applyBorder="1"/>
    <xf numFmtId="0" fontId="0" fillId="8" borderId="0" xfId="0" applyFill="1"/>
    <xf numFmtId="0" fontId="0" fillId="7" borderId="0" xfId="0" applyFill="1" applyBorder="1"/>
    <xf numFmtId="0" fontId="0" fillId="0" borderId="0" xfId="0" applyBorder="1" applyAlignment="1">
      <alignment horizontal="center"/>
    </xf>
    <xf numFmtId="0" fontId="12" fillId="0" borderId="0" xfId="0" applyFont="1"/>
    <xf numFmtId="11" fontId="0" fillId="0" borderId="18" xfId="0" applyNumberFormat="1" applyBorder="1"/>
    <xf numFmtId="0" fontId="0" fillId="0" borderId="0" xfId="0" applyFont="1" applyAlignment="1"/>
    <xf numFmtId="0" fontId="0" fillId="0" borderId="15" xfId="0" applyBorder="1"/>
    <xf numFmtId="169" fontId="0" fillId="0" borderId="14" xfId="0" applyNumberFormat="1" applyBorder="1"/>
    <xf numFmtId="166" fontId="0" fillId="9" borderId="27" xfId="0" applyNumberFormat="1" applyFill="1" applyBorder="1"/>
    <xf numFmtId="0" fontId="0" fillId="0" borderId="19" xfId="0" applyFill="1" applyBorder="1"/>
    <xf numFmtId="11" fontId="0" fillId="0" borderId="0" xfId="0" applyNumberFormat="1"/>
    <xf numFmtId="0" fontId="0" fillId="0" borderId="29" xfId="0" applyBorder="1"/>
    <xf numFmtId="0" fontId="0" fillId="0" borderId="48" xfId="0" applyFill="1" applyBorder="1"/>
    <xf numFmtId="0" fontId="0" fillId="0" borderId="64" xfId="0" applyBorder="1"/>
    <xf numFmtId="0" fontId="0" fillId="0" borderId="50" xfId="0" applyBorder="1" applyAlignment="1">
      <alignment horizontal="center"/>
    </xf>
    <xf numFmtId="1" fontId="0" fillId="7" borderId="0" xfId="0" applyNumberFormat="1" applyFill="1" applyBorder="1"/>
    <xf numFmtId="1" fontId="0" fillId="0" borderId="19" xfId="0" applyNumberFormat="1" applyBorder="1"/>
    <xf numFmtId="166" fontId="0" fillId="0" borderId="27" xfId="0" applyNumberFormat="1" applyFill="1" applyBorder="1"/>
    <xf numFmtId="0" fontId="0" fillId="0" borderId="4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19" xfId="0" applyBorder="1"/>
    <xf numFmtId="0" fontId="0" fillId="0" borderId="10" xfId="0" applyBorder="1"/>
    <xf numFmtId="0" fontId="0" fillId="0" borderId="27" xfId="0" applyBorder="1"/>
    <xf numFmtId="0" fontId="0" fillId="7" borderId="0" xfId="0" applyFill="1" applyBorder="1"/>
    <xf numFmtId="167" fontId="0" fillId="0" borderId="27" xfId="0" applyNumberFormat="1" applyBorder="1"/>
    <xf numFmtId="11" fontId="0" fillId="0" borderId="14" xfId="0" applyNumberFormat="1" applyBorder="1"/>
    <xf numFmtId="1" fontId="0" fillId="0" borderId="27" xfId="0" applyNumberFormat="1" applyBorder="1"/>
    <xf numFmtId="1" fontId="0" fillId="0" borderId="26" xfId="0" applyNumberFormat="1" applyBorder="1"/>
    <xf numFmtId="166" fontId="0" fillId="2" borderId="27" xfId="0" applyNumberFormat="1" applyFill="1" applyBorder="1"/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0" fillId="7" borderId="4" xfId="0" applyFill="1" applyBorder="1"/>
    <xf numFmtId="2" fontId="0" fillId="7" borderId="6" xfId="0" applyNumberFormat="1" applyFill="1" applyBorder="1"/>
    <xf numFmtId="0" fontId="0" fillId="7" borderId="19" xfId="0" applyFill="1" applyBorder="1"/>
    <xf numFmtId="0" fontId="0" fillId="7" borderId="27" xfId="0" applyFill="1" applyBorder="1" applyAlignment="1">
      <alignment horizontal="center"/>
    </xf>
    <xf numFmtId="0" fontId="0" fillId="7" borderId="10" xfId="0" applyFill="1" applyBorder="1"/>
    <xf numFmtId="0" fontId="0" fillId="7" borderId="6" xfId="0" applyFill="1" applyBorder="1"/>
    <xf numFmtId="166" fontId="0" fillId="0" borderId="0" xfId="0" applyNumberFormat="1"/>
    <xf numFmtId="2" fontId="0" fillId="7" borderId="18" xfId="0" applyNumberFormat="1" applyFill="1" applyBorder="1"/>
    <xf numFmtId="166" fontId="0" fillId="0" borderId="0" xfId="0" applyNumberFormat="1"/>
    <xf numFmtId="166" fontId="0" fillId="7" borderId="18" xfId="0" applyNumberFormat="1" applyFill="1" applyBorder="1"/>
    <xf numFmtId="0" fontId="0" fillId="0" borderId="4" xfId="0" applyFill="1" applyBorder="1"/>
    <xf numFmtId="2" fontId="0" fillId="0" borderId="6" xfId="0" applyNumberFormat="1" applyFill="1" applyBorder="1"/>
    <xf numFmtId="2" fontId="0" fillId="0" borderId="32" xfId="0" applyNumberFormat="1" applyFill="1" applyBorder="1"/>
    <xf numFmtId="0" fontId="0" fillId="0" borderId="25" xfId="0" applyBorder="1"/>
    <xf numFmtId="0" fontId="0" fillId="0" borderId="17" xfId="0" applyFill="1" applyBorder="1"/>
    <xf numFmtId="167" fontId="0" fillId="0" borderId="17" xfId="0" applyNumberFormat="1" applyFill="1" applyBorder="1"/>
    <xf numFmtId="2" fontId="0" fillId="0" borderId="34" xfId="0" applyNumberFormat="1" applyFill="1" applyBorder="1"/>
    <xf numFmtId="166" fontId="0" fillId="0" borderId="17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2" fontId="0" fillId="0" borderId="7" xfId="0" applyNumberFormat="1" applyFill="1" applyBorder="1"/>
    <xf numFmtId="2" fontId="0" fillId="0" borderId="12" xfId="0" applyNumberFormat="1" applyFill="1" applyBorder="1"/>
    <xf numFmtId="0" fontId="2" fillId="11" borderId="22" xfId="0" applyFont="1" applyFill="1" applyBorder="1"/>
    <xf numFmtId="10" fontId="0" fillId="0" borderId="0" xfId="0" applyNumberFormat="1"/>
    <xf numFmtId="3" fontId="16" fillId="0" borderId="0" xfId="2" applyNumberFormat="1" applyFont="1" applyFill="1" applyBorder="1" applyAlignment="1">
      <alignment vertical="center"/>
    </xf>
    <xf numFmtId="3" fontId="17" fillId="12" borderId="34" xfId="2" applyNumberFormat="1" applyFont="1" applyFill="1" applyBorder="1" applyAlignment="1">
      <alignment vertical="center"/>
    </xf>
    <xf numFmtId="3" fontId="17" fillId="0" borderId="34" xfId="2" applyNumberFormat="1" applyFont="1" applyFill="1" applyBorder="1" applyAlignment="1">
      <alignment vertical="center"/>
    </xf>
    <xf numFmtId="3" fontId="16" fillId="0" borderId="34" xfId="2" applyNumberFormat="1" applyFont="1" applyBorder="1" applyAlignment="1">
      <alignment vertical="center"/>
    </xf>
    <xf numFmtId="3" fontId="16" fillId="0" borderId="34" xfId="2" applyNumberFormat="1" applyFont="1" applyFill="1" applyBorder="1" applyAlignment="1">
      <alignment horizontal="left" vertical="center"/>
    </xf>
    <xf numFmtId="0" fontId="0" fillId="0" borderId="0" xfId="0"/>
    <xf numFmtId="0" fontId="0" fillId="0" borderId="18" xfId="0" applyBorder="1"/>
    <xf numFmtId="165" fontId="0" fillId="0" borderId="18" xfId="1" applyNumberFormat="1" applyFont="1" applyBorder="1"/>
    <xf numFmtId="167" fontId="0" fillId="0" borderId="0" xfId="0" applyNumberFormat="1"/>
    <xf numFmtId="166" fontId="0" fillId="5" borderId="18" xfId="0" applyNumberFormat="1" applyFill="1" applyBorder="1"/>
    <xf numFmtId="2" fontId="0" fillId="0" borderId="18" xfId="0" applyNumberFormat="1" applyBorder="1"/>
    <xf numFmtId="0" fontId="0" fillId="0" borderId="0" xfId="0" applyNumberFormat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167" fontId="0" fillId="0" borderId="9" xfId="0" applyNumberFormat="1" applyBorder="1"/>
    <xf numFmtId="0" fontId="0" fillId="0" borderId="18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0" xfId="0" applyNumberFormat="1"/>
    <xf numFmtId="0" fontId="9" fillId="0" borderId="20" xfId="0" applyFont="1" applyBorder="1" applyAlignment="1">
      <alignment horizontal="left" vertical="top"/>
    </xf>
    <xf numFmtId="165" fontId="0" fillId="0" borderId="18" xfId="0" applyNumberFormat="1" applyBorder="1"/>
    <xf numFmtId="165" fontId="0" fillId="0" borderId="12" xfId="0" applyNumberFormat="1" applyBorder="1"/>
    <xf numFmtId="165" fontId="0" fillId="0" borderId="14" xfId="0" applyNumberFormat="1" applyBorder="1"/>
    <xf numFmtId="1" fontId="0" fillId="0" borderId="0" xfId="0" applyNumberFormat="1"/>
    <xf numFmtId="165" fontId="0" fillId="0" borderId="9" xfId="0" applyNumberFormat="1" applyBorder="1"/>
    <xf numFmtId="165" fontId="0" fillId="0" borderId="27" xfId="0" applyNumberFormat="1" applyBorder="1"/>
    <xf numFmtId="1" fontId="0" fillId="0" borderId="18" xfId="0" applyNumberFormat="1" applyBorder="1"/>
    <xf numFmtId="1" fontId="0" fillId="0" borderId="18" xfId="0" applyNumberFormat="1" applyBorder="1" applyAlignment="1">
      <alignment horizontal="center"/>
    </xf>
    <xf numFmtId="165" fontId="0" fillId="0" borderId="27" xfId="0" applyNumberFormat="1" applyBorder="1" applyAlignment="1">
      <alignment vertical="center"/>
    </xf>
    <xf numFmtId="1" fontId="0" fillId="0" borderId="27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65" fontId="0" fillId="0" borderId="19" xfId="0" applyNumberFormat="1" applyBorder="1"/>
    <xf numFmtId="0" fontId="0" fillId="0" borderId="0" xfId="0"/>
    <xf numFmtId="0" fontId="23" fillId="7" borderId="18" xfId="0" applyFont="1" applyFill="1" applyBorder="1" applyAlignment="1">
      <alignment horizontal="center" vertical="center"/>
    </xf>
    <xf numFmtId="165" fontId="24" fillId="7" borderId="18" xfId="28" applyNumberFormat="1" applyFont="1" applyFill="1" applyBorder="1" applyAlignment="1" applyProtection="1">
      <alignment horizontal="right"/>
    </xf>
    <xf numFmtId="165" fontId="24" fillId="0" borderId="0" xfId="28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textRotation="90" wrapText="1"/>
    </xf>
    <xf numFmtId="165" fontId="3" fillId="0" borderId="34" xfId="1" applyNumberFormat="1" applyFont="1" applyFill="1" applyBorder="1"/>
    <xf numFmtId="168" fontId="28" fillId="0" borderId="15" xfId="3" applyNumberFormat="1" applyFont="1" applyFill="1" applyBorder="1"/>
    <xf numFmtId="168" fontId="28" fillId="0" borderId="17" xfId="3" applyNumberFormat="1" applyFont="1" applyFill="1" applyBorder="1"/>
    <xf numFmtId="165" fontId="28" fillId="0" borderId="17" xfId="1" applyNumberFormat="1" applyFont="1" applyFill="1" applyBorder="1"/>
    <xf numFmtId="2" fontId="28" fillId="0" borderId="17" xfId="1" applyNumberFormat="1" applyFont="1" applyFill="1" applyBorder="1"/>
    <xf numFmtId="164" fontId="28" fillId="0" borderId="16" xfId="1" applyNumberFormat="1" applyFont="1" applyFill="1" applyBorder="1"/>
    <xf numFmtId="165" fontId="28" fillId="0" borderId="6" xfId="1" applyNumberFormat="1" applyFont="1" applyFill="1" applyBorder="1"/>
    <xf numFmtId="2" fontId="28" fillId="0" borderId="6" xfId="1" applyNumberFormat="1" applyFont="1" applyFill="1" applyBorder="1"/>
    <xf numFmtId="164" fontId="28" fillId="0" borderId="9" xfId="1" applyNumberFormat="1" applyFont="1" applyFill="1" applyBorder="1"/>
    <xf numFmtId="168" fontId="28" fillId="0" borderId="19" xfId="3" applyNumberFormat="1" applyFont="1" applyFill="1" applyBorder="1"/>
    <xf numFmtId="168" fontId="28" fillId="0" borderId="18" xfId="3" applyNumberFormat="1" applyFont="1" applyFill="1" applyBorder="1"/>
    <xf numFmtId="165" fontId="28" fillId="0" borderId="18" xfId="1" applyNumberFormat="1" applyFont="1" applyFill="1" applyBorder="1"/>
    <xf numFmtId="165" fontId="28" fillId="0" borderId="19" xfId="1" applyNumberFormat="1" applyFont="1" applyFill="1" applyBorder="1"/>
    <xf numFmtId="164" fontId="28" fillId="0" borderId="26" xfId="1" applyNumberFormat="1" applyFont="1" applyFill="1" applyBorder="1"/>
    <xf numFmtId="168" fontId="28" fillId="0" borderId="29" xfId="3" applyNumberFormat="1" applyFont="1" applyFill="1" applyBorder="1"/>
    <xf numFmtId="168" fontId="28" fillId="0" borderId="32" xfId="3" applyNumberFormat="1" applyFont="1" applyFill="1" applyBorder="1"/>
    <xf numFmtId="165" fontId="28" fillId="0" borderId="32" xfId="1" applyNumberFormat="1" applyFont="1" applyFill="1" applyBorder="1"/>
    <xf numFmtId="2" fontId="28" fillId="0" borderId="34" xfId="1" applyNumberFormat="1" applyFont="1" applyFill="1" applyBorder="1"/>
    <xf numFmtId="165" fontId="28" fillId="0" borderId="34" xfId="1" applyNumberFormat="1" applyFont="1" applyFill="1" applyBorder="1"/>
    <xf numFmtId="164" fontId="28" fillId="0" borderId="46" xfId="1" applyNumberFormat="1" applyFont="1" applyFill="1" applyBorder="1"/>
    <xf numFmtId="165" fontId="28" fillId="0" borderId="29" xfId="1" applyNumberFormat="1" applyFont="1" applyFill="1" applyBorder="1"/>
    <xf numFmtId="164" fontId="28" fillId="0" borderId="74" xfId="1" applyNumberFormat="1" applyFont="1" applyFill="1" applyBorder="1"/>
    <xf numFmtId="165" fontId="26" fillId="0" borderId="31" xfId="0" applyNumberFormat="1" applyFont="1" applyBorder="1"/>
    <xf numFmtId="165" fontId="26" fillId="0" borderId="6" xfId="0" applyNumberFormat="1" applyFont="1" applyBorder="1"/>
    <xf numFmtId="165" fontId="26" fillId="0" borderId="5" xfId="0" applyNumberFormat="1" applyFont="1" applyBorder="1"/>
    <xf numFmtId="165" fontId="26" fillId="0" borderId="4" xfId="0" applyNumberFormat="1" applyFont="1" applyBorder="1"/>
    <xf numFmtId="2" fontId="26" fillId="0" borderId="24" xfId="0" applyNumberFormat="1" applyFont="1" applyBorder="1"/>
    <xf numFmtId="2" fontId="26" fillId="0" borderId="18" xfId="0" applyNumberFormat="1" applyFont="1" applyBorder="1"/>
    <xf numFmtId="0" fontId="26" fillId="0" borderId="20" xfId="0" applyFont="1" applyBorder="1"/>
    <xf numFmtId="2" fontId="26" fillId="0" borderId="19" xfId="0" applyNumberFormat="1" applyFont="1" applyBorder="1"/>
    <xf numFmtId="0" fontId="26" fillId="0" borderId="18" xfId="0" applyFont="1" applyBorder="1"/>
    <xf numFmtId="165" fontId="26" fillId="0" borderId="49" xfId="0" applyNumberFormat="1" applyFont="1" applyBorder="1"/>
    <xf numFmtId="165" fontId="26" fillId="0" borderId="12" xfId="0" applyNumberFormat="1" applyFont="1" applyBorder="1"/>
    <xf numFmtId="165" fontId="26" fillId="0" borderId="11" xfId="0" applyNumberFormat="1" applyFont="1" applyBorder="1"/>
    <xf numFmtId="165" fontId="26" fillId="0" borderId="10" xfId="0" applyNumberFormat="1" applyFont="1" applyBorder="1"/>
    <xf numFmtId="165" fontId="28" fillId="0" borderId="15" xfId="1" applyNumberFormat="1" applyFont="1" applyFill="1" applyBorder="1"/>
    <xf numFmtId="165" fontId="3" fillId="0" borderId="13" xfId="1" applyNumberFormat="1" applyFont="1" applyFill="1" applyBorder="1"/>
    <xf numFmtId="168" fontId="28" fillId="0" borderId="4" xfId="3" applyNumberFormat="1" applyFont="1" applyFill="1" applyBorder="1"/>
    <xf numFmtId="0" fontId="28" fillId="0" borderId="6" xfId="1" applyNumberFormat="1" applyFont="1" applyFill="1" applyBorder="1"/>
    <xf numFmtId="2" fontId="28" fillId="0" borderId="18" xfId="1" applyNumberFormat="1" applyFont="1" applyFill="1" applyBorder="1"/>
    <xf numFmtId="0" fontId="28" fillId="0" borderId="18" xfId="1" applyNumberFormat="1" applyFont="1" applyFill="1" applyBorder="1"/>
    <xf numFmtId="164" fontId="28" fillId="0" borderId="27" xfId="1" applyNumberFormat="1" applyFont="1" applyFill="1" applyBorder="1"/>
    <xf numFmtId="2" fontId="28" fillId="0" borderId="32" xfId="1" applyNumberFormat="1" applyFont="1" applyFill="1" applyBorder="1"/>
    <xf numFmtId="0" fontId="28" fillId="0" borderId="32" xfId="1" applyNumberFormat="1" applyFont="1" applyFill="1" applyBorder="1"/>
    <xf numFmtId="164" fontId="28" fillId="0" borderId="50" xfId="1" applyNumberFormat="1" applyFont="1" applyFill="1" applyBorder="1"/>
    <xf numFmtId="1" fontId="26" fillId="0" borderId="20" xfId="0" applyNumberFormat="1" applyFont="1" applyBorder="1"/>
    <xf numFmtId="1" fontId="26" fillId="0" borderId="10" xfId="0" applyNumberFormat="1" applyFont="1" applyBorder="1"/>
    <xf numFmtId="1" fontId="26" fillId="0" borderId="12" xfId="0" applyNumberFormat="1" applyFont="1" applyBorder="1"/>
    <xf numFmtId="1" fontId="26" fillId="0" borderId="11" xfId="0" applyNumberFormat="1" applyFont="1" applyBorder="1"/>
    <xf numFmtId="1" fontId="26" fillId="0" borderId="49" xfId="0" applyNumberFormat="1" applyFont="1" applyBorder="1"/>
    <xf numFmtId="164" fontId="0" fillId="0" borderId="0" xfId="0" applyNumberFormat="1" applyFill="1" applyBorder="1" applyAlignment="1">
      <alignment vertical="center"/>
    </xf>
    <xf numFmtId="165" fontId="0" fillId="0" borderId="26" xfId="0" applyNumberFormat="1" applyBorder="1" applyAlignment="1">
      <alignment vertical="center"/>
    </xf>
    <xf numFmtId="165" fontId="0" fillId="0" borderId="10" xfId="0" applyNumberFormat="1" applyBorder="1"/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 vertical="center"/>
    </xf>
    <xf numFmtId="165" fontId="0" fillId="0" borderId="17" xfId="0" applyNumberFormat="1" applyBorder="1"/>
    <xf numFmtId="165" fontId="0" fillId="0" borderId="26" xfId="0" applyNumberFormat="1" applyBorder="1"/>
    <xf numFmtId="165" fontId="0" fillId="0" borderId="15" xfId="0" applyNumberFormat="1" applyBorder="1"/>
    <xf numFmtId="1" fontId="0" fillId="0" borderId="12" xfId="0" applyNumberFormat="1" applyBorder="1" applyAlignment="1">
      <alignment horizontal="center"/>
    </xf>
    <xf numFmtId="0" fontId="0" fillId="0" borderId="11" xfId="0" applyBorder="1"/>
    <xf numFmtId="1" fontId="0" fillId="0" borderId="10" xfId="0" applyNumberFormat="1" applyBorder="1" applyAlignment="1">
      <alignment horizontal="center"/>
    </xf>
    <xf numFmtId="0" fontId="0" fillId="2" borderId="4" xfId="0" applyFill="1" applyBorder="1"/>
    <xf numFmtId="0" fontId="0" fillId="2" borderId="19" xfId="0" applyFill="1" applyBorder="1"/>
    <xf numFmtId="0" fontId="0" fillId="2" borderId="10" xfId="0" applyFill="1" applyBorder="1"/>
    <xf numFmtId="0" fontId="0" fillId="0" borderId="19" xfId="0" applyBorder="1" applyAlignment="1">
      <alignment horizontal="center"/>
    </xf>
    <xf numFmtId="168" fontId="28" fillId="0" borderId="5" xfId="3" applyNumberFormat="1" applyFont="1" applyFill="1" applyBorder="1"/>
    <xf numFmtId="168" fontId="28" fillId="0" borderId="20" xfId="3" applyNumberFormat="1" applyFont="1" applyFill="1" applyBorder="1"/>
    <xf numFmtId="168" fontId="28" fillId="0" borderId="30" xfId="3" applyNumberFormat="1" applyFont="1" applyFill="1" applyBorder="1"/>
    <xf numFmtId="165" fontId="28" fillId="0" borderId="31" xfId="1" applyNumberFormat="1" applyFont="1" applyFill="1" applyBorder="1"/>
    <xf numFmtId="165" fontId="28" fillId="0" borderId="24" xfId="1" applyNumberFormat="1" applyFont="1" applyFill="1" applyBorder="1"/>
    <xf numFmtId="165" fontId="28" fillId="0" borderId="45" xfId="1" applyNumberFormat="1" applyFont="1" applyFill="1" applyBorder="1"/>
    <xf numFmtId="165" fontId="28" fillId="0" borderId="4" xfId="1" applyNumberFormat="1" applyFont="1" applyFill="1" applyBorder="1"/>
    <xf numFmtId="0" fontId="2" fillId="14" borderId="37" xfId="0" applyFont="1" applyFill="1" applyBorder="1" applyAlignment="1">
      <alignment horizontal="center"/>
    </xf>
    <xf numFmtId="164" fontId="0" fillId="0" borderId="32" xfId="0" applyNumberFormat="1" applyBorder="1"/>
    <xf numFmtId="2" fontId="0" fillId="0" borderId="32" xfId="0" applyNumberFormat="1" applyBorder="1"/>
    <xf numFmtId="0" fontId="2" fillId="14" borderId="35" xfId="0" applyFont="1" applyFill="1" applyBorder="1"/>
    <xf numFmtId="0" fontId="0" fillId="0" borderId="29" xfId="0" applyBorder="1" applyAlignment="1">
      <alignment vertical="center"/>
    </xf>
    <xf numFmtId="2" fontId="0" fillId="0" borderId="50" xfId="0" applyNumberFormat="1" applyBorder="1"/>
    <xf numFmtId="2" fontId="0" fillId="0" borderId="40" xfId="0" applyNumberFormat="1" applyFill="1" applyBorder="1"/>
    <xf numFmtId="0" fontId="2" fillId="14" borderId="35" xfId="0" applyFont="1" applyFill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0" fontId="2" fillId="14" borderId="40" xfId="0" applyFon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166" fontId="0" fillId="0" borderId="20" xfId="0" applyNumberFormat="1" applyBorder="1"/>
    <xf numFmtId="166" fontId="0" fillId="0" borderId="11" xfId="0" applyNumberFormat="1" applyBorder="1"/>
    <xf numFmtId="3" fontId="16" fillId="0" borderId="0" xfId="2" applyNumberFormat="1" applyFont="1" applyFill="1" applyBorder="1" applyAlignment="1">
      <alignment horizontal="left" vertical="center"/>
    </xf>
    <xf numFmtId="3" fontId="16" fillId="0" borderId="0" xfId="2" applyNumberFormat="1" applyFont="1" applyBorder="1" applyAlignment="1">
      <alignment vertical="center"/>
    </xf>
    <xf numFmtId="165" fontId="0" fillId="0" borderId="24" xfId="1" applyNumberFormat="1" applyFont="1" applyBorder="1"/>
    <xf numFmtId="3" fontId="16" fillId="0" borderId="6" xfId="2" applyNumberFormat="1" applyFont="1" applyFill="1" applyBorder="1" applyAlignment="1">
      <alignment vertical="center"/>
    </xf>
    <xf numFmtId="3" fontId="16" fillId="0" borderId="9" xfId="2" applyNumberFormat="1" applyFont="1" applyFill="1" applyBorder="1" applyAlignment="1">
      <alignment vertical="center"/>
    </xf>
    <xf numFmtId="165" fontId="0" fillId="0" borderId="12" xfId="1" applyNumberFormat="1" applyFont="1" applyBorder="1"/>
    <xf numFmtId="165" fontId="0" fillId="0" borderId="32" xfId="1" applyNumberFormat="1" applyFont="1" applyBorder="1"/>
    <xf numFmtId="165" fontId="0" fillId="0" borderId="50" xfId="1" applyNumberFormat="1" applyFont="1" applyBorder="1"/>
    <xf numFmtId="167" fontId="2" fillId="11" borderId="14" xfId="0" applyNumberFormat="1" applyFont="1" applyFill="1" applyBorder="1"/>
    <xf numFmtId="0" fontId="0" fillId="15" borderId="10" xfId="0" applyFill="1" applyBorder="1" applyAlignment="1">
      <alignment horizontal="center"/>
    </xf>
    <xf numFmtId="0" fontId="24" fillId="15" borderId="36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 wrapText="1"/>
    </xf>
    <xf numFmtId="0" fontId="24" fillId="15" borderId="40" xfId="0" applyFont="1" applyFill="1" applyBorder="1" applyAlignment="1">
      <alignment horizontal="center" vertical="center" wrapText="1"/>
    </xf>
    <xf numFmtId="0" fontId="24" fillId="15" borderId="7" xfId="0" applyFont="1" applyFill="1" applyBorder="1" applyAlignment="1">
      <alignment horizontal="center" vertical="center"/>
    </xf>
    <xf numFmtId="0" fontId="24" fillId="0" borderId="31" xfId="0" applyFont="1" applyFill="1" applyBorder="1"/>
    <xf numFmtId="0" fontId="24" fillId="0" borderId="6" xfId="0" applyFont="1" applyBorder="1"/>
    <xf numFmtId="0" fontId="24" fillId="0" borderId="6" xfId="0" applyFont="1" applyFill="1" applyBorder="1"/>
    <xf numFmtId="167" fontId="24" fillId="0" borderId="6" xfId="0" applyNumberFormat="1" applyFont="1" applyFill="1" applyBorder="1"/>
    <xf numFmtId="166" fontId="24" fillId="0" borderId="6" xfId="0" applyNumberFormat="1" applyFont="1" applyBorder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0" fontId="24" fillId="0" borderId="45" xfId="0" applyFont="1" applyFill="1" applyBorder="1"/>
    <xf numFmtId="0" fontId="24" fillId="0" borderId="32" xfId="0" applyFont="1" applyBorder="1"/>
    <xf numFmtId="0" fontId="24" fillId="0" borderId="32" xfId="0" applyFont="1" applyFill="1" applyBorder="1"/>
    <xf numFmtId="167" fontId="24" fillId="0" borderId="32" xfId="0" applyNumberFormat="1" applyFont="1" applyFill="1" applyBorder="1"/>
    <xf numFmtId="166" fontId="24" fillId="0" borderId="32" xfId="0" applyNumberFormat="1" applyFont="1" applyBorder="1" applyAlignment="1">
      <alignment horizontal="center"/>
    </xf>
    <xf numFmtId="166" fontId="24" fillId="0" borderId="17" xfId="0" applyNumberFormat="1" applyFont="1" applyBorder="1" applyAlignment="1">
      <alignment horizontal="center"/>
    </xf>
    <xf numFmtId="166" fontId="24" fillId="0" borderId="30" xfId="0" applyNumberFormat="1" applyFont="1" applyBorder="1" applyAlignment="1">
      <alignment horizontal="center"/>
    </xf>
    <xf numFmtId="0" fontId="24" fillId="0" borderId="31" xfId="0" applyFont="1" applyBorder="1"/>
    <xf numFmtId="0" fontId="24" fillId="0" borderId="45" xfId="0" applyFont="1" applyBorder="1"/>
    <xf numFmtId="0" fontId="24" fillId="0" borderId="49" xfId="0" applyFont="1" applyBorder="1"/>
    <xf numFmtId="0" fontId="24" fillId="0" borderId="12" xfId="0" applyFont="1" applyBorder="1"/>
    <xf numFmtId="0" fontId="24" fillId="0" borderId="12" xfId="0" applyFont="1" applyFill="1" applyBorder="1"/>
    <xf numFmtId="167" fontId="24" fillId="0" borderId="12" xfId="0" applyNumberFormat="1" applyFont="1" applyFill="1" applyBorder="1"/>
    <xf numFmtId="166" fontId="24" fillId="0" borderId="12" xfId="0" applyNumberFormat="1" applyFont="1" applyBorder="1" applyAlignment="1">
      <alignment horizontal="center"/>
    </xf>
    <xf numFmtId="166" fontId="24" fillId="0" borderId="11" xfId="0" applyNumberFormat="1" applyFont="1" applyBorder="1" applyAlignment="1">
      <alignment horizontal="center"/>
    </xf>
    <xf numFmtId="0" fontId="24" fillId="0" borderId="4" xfId="0" applyFont="1" applyFill="1" applyBorder="1"/>
    <xf numFmtId="0" fontId="24" fillId="0" borderId="71" xfId="0" applyFont="1" applyFill="1" applyBorder="1"/>
    <xf numFmtId="0" fontId="24" fillId="0" borderId="13" xfId="0" applyFont="1" applyFill="1" applyBorder="1"/>
    <xf numFmtId="166" fontId="24" fillId="0" borderId="13" xfId="0" applyNumberFormat="1" applyFont="1" applyBorder="1" applyAlignment="1">
      <alignment horizontal="center"/>
    </xf>
    <xf numFmtId="0" fontId="24" fillId="7" borderId="0" xfId="0" applyFont="1" applyFill="1"/>
    <xf numFmtId="0" fontId="30" fillId="4" borderId="26" xfId="0" applyNumberFormat="1" applyFont="1" applyFill="1" applyBorder="1"/>
    <xf numFmtId="0" fontId="24" fillId="15" borderId="6" xfId="0" applyFont="1" applyFill="1" applyBorder="1" applyAlignment="1">
      <alignment horizontal="center" wrapText="1"/>
    </xf>
    <xf numFmtId="0" fontId="24" fillId="15" borderId="7" xfId="0" applyFont="1" applyFill="1" applyBorder="1" applyAlignment="1">
      <alignment horizontal="center" vertical="center" wrapText="1"/>
    </xf>
    <xf numFmtId="0" fontId="24" fillId="15" borderId="54" xfId="0" applyFont="1" applyFill="1" applyBorder="1" applyAlignment="1">
      <alignment horizontal="center" vertical="center" wrapText="1"/>
    </xf>
    <xf numFmtId="0" fontId="14" fillId="15" borderId="40" xfId="0" applyFont="1" applyFill="1" applyBorder="1"/>
    <xf numFmtId="0" fontId="14" fillId="15" borderId="37" xfId="0" applyFont="1" applyFill="1" applyBorder="1" applyAlignment="1">
      <alignment horizontal="center"/>
    </xf>
    <xf numFmtId="0" fontId="0" fillId="16" borderId="19" xfId="0" applyFill="1" applyBorder="1"/>
    <xf numFmtId="0" fontId="0" fillId="16" borderId="10" xfId="0" applyFill="1" applyBorder="1"/>
    <xf numFmtId="0" fontId="0" fillId="16" borderId="4" xfId="0" applyFill="1" applyBorder="1"/>
    <xf numFmtId="0" fontId="0" fillId="7" borderId="48" xfId="0" applyFill="1" applyBorder="1"/>
    <xf numFmtId="166" fontId="0" fillId="2" borderId="32" xfId="0" applyNumberFormat="1" applyFill="1" applyBorder="1"/>
    <xf numFmtId="167" fontId="0" fillId="7" borderId="0" xfId="0" applyNumberFormat="1" applyFill="1" applyBorder="1"/>
    <xf numFmtId="167" fontId="0" fillId="0" borderId="19" xfId="0" applyNumberFormat="1" applyBorder="1"/>
    <xf numFmtId="166" fontId="0" fillId="2" borderId="40" xfId="0" applyNumberFormat="1" applyFill="1" applyBorder="1"/>
    <xf numFmtId="172" fontId="0" fillId="0" borderId="16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16" borderId="15" xfId="0" applyFont="1" applyFill="1" applyBorder="1"/>
    <xf numFmtId="0" fontId="0" fillId="0" borderId="17" xfId="0" applyFont="1" applyFill="1" applyBorder="1" applyAlignment="1">
      <alignment horizontal="center"/>
    </xf>
    <xf numFmtId="0" fontId="0" fillId="16" borderId="19" xfId="0" applyFont="1" applyFill="1" applyBorder="1"/>
    <xf numFmtId="0" fontId="0" fillId="0" borderId="18" xfId="0" applyFont="1" applyFill="1" applyBorder="1" applyAlignment="1">
      <alignment horizontal="center"/>
    </xf>
    <xf numFmtId="0" fontId="0" fillId="16" borderId="10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63" xfId="0" applyFont="1" applyBorder="1" applyAlignment="1"/>
    <xf numFmtId="0" fontId="14" fillId="15" borderId="35" xfId="0" applyFont="1" applyFill="1" applyBorder="1"/>
    <xf numFmtId="0" fontId="31" fillId="0" borderId="19" xfId="0" applyFont="1" applyBorder="1"/>
    <xf numFmtId="11" fontId="0" fillId="0" borderId="27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9" fontId="0" fillId="0" borderId="27" xfId="4" applyFont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173" fontId="0" fillId="0" borderId="27" xfId="0" applyNumberFormat="1" applyFont="1" applyBorder="1" applyAlignment="1">
      <alignment horizontal="center"/>
    </xf>
    <xf numFmtId="1" fontId="0" fillId="0" borderId="27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2" fillId="10" borderId="40" xfId="0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166" fontId="0" fillId="7" borderId="6" xfId="0" applyNumberFormat="1" applyFill="1" applyBorder="1"/>
    <xf numFmtId="2" fontId="0" fillId="0" borderId="18" xfId="0" applyNumberFormat="1" applyFill="1" applyBorder="1"/>
    <xf numFmtId="2" fontId="0" fillId="7" borderId="12" xfId="0" applyNumberFormat="1" applyFill="1" applyBorder="1"/>
    <xf numFmtId="2" fontId="0" fillId="7" borderId="13" xfId="0" applyNumberFormat="1" applyFill="1" applyBorder="1"/>
    <xf numFmtId="0" fontId="2" fillId="0" borderId="2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49" xfId="0" applyNumberFormat="1" applyBorder="1" applyAlignment="1">
      <alignment horizont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Fill="1" applyBorder="1" applyAlignment="1"/>
    <xf numFmtId="0" fontId="0" fillId="0" borderId="27" xfId="0" applyFont="1" applyBorder="1" applyAlignment="1"/>
    <xf numFmtId="9" fontId="0" fillId="0" borderId="27" xfId="4" applyFont="1" applyBorder="1" applyAlignment="1"/>
    <xf numFmtId="166" fontId="0" fillId="0" borderId="50" xfId="0" applyNumberFormat="1" applyFont="1" applyBorder="1" applyAlignment="1"/>
    <xf numFmtId="0" fontId="0" fillId="0" borderId="18" xfId="0" applyFont="1" applyFill="1" applyBorder="1" applyAlignment="1"/>
    <xf numFmtId="0" fontId="2" fillId="10" borderId="6" xfId="0" applyFont="1" applyFill="1" applyBorder="1" applyAlignment="1"/>
    <xf numFmtId="0" fontId="2" fillId="10" borderId="9" xfId="0" applyFont="1" applyFill="1" applyBorder="1" applyAlignment="1"/>
    <xf numFmtId="2" fontId="0" fillId="0" borderId="27" xfId="0" applyNumberFormat="1" applyFont="1" applyBorder="1" applyAlignment="1"/>
    <xf numFmtId="2" fontId="0" fillId="0" borderId="14" xfId="0" applyNumberFormat="1" applyBorder="1"/>
    <xf numFmtId="1" fontId="0" fillId="0" borderId="0" xfId="0" applyNumberFormat="1" applyBorder="1"/>
    <xf numFmtId="0" fontId="0" fillId="0" borderId="0" xfId="0" applyFill="1" applyBorder="1" applyAlignment="1"/>
    <xf numFmtId="1" fontId="24" fillId="0" borderId="6" xfId="0" applyNumberFormat="1" applyFont="1" applyFill="1" applyBorder="1" applyAlignment="1">
      <alignment horizontal="center"/>
    </xf>
    <xf numFmtId="1" fontId="24" fillId="0" borderId="32" xfId="0" applyNumberFormat="1" applyFont="1" applyFill="1" applyBorder="1" applyAlignment="1">
      <alignment horizontal="center"/>
    </xf>
    <xf numFmtId="1" fontId="24" fillId="0" borderId="12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/>
    <xf numFmtId="2" fontId="0" fillId="0" borderId="18" xfId="0" applyNumberFormat="1" applyFont="1" applyFill="1" applyBorder="1"/>
    <xf numFmtId="3" fontId="0" fillId="0" borderId="12" xfId="0" applyNumberFormat="1" applyFont="1" applyFill="1" applyBorder="1"/>
    <xf numFmtId="2" fontId="0" fillId="0" borderId="12" xfId="0" applyNumberFormat="1" applyFont="1" applyFill="1" applyBorder="1"/>
    <xf numFmtId="166" fontId="0" fillId="0" borderId="12" xfId="0" applyNumberFormat="1" applyFont="1" applyFill="1" applyBorder="1"/>
    <xf numFmtId="0" fontId="13" fillId="10" borderId="35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 wrapText="1"/>
    </xf>
    <xf numFmtId="0" fontId="13" fillId="10" borderId="40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1" fontId="0" fillId="0" borderId="27" xfId="0" applyNumberFormat="1" applyFont="1" applyBorder="1" applyAlignment="1"/>
    <xf numFmtId="11" fontId="0" fillId="0" borderId="14" xfId="0" applyNumberFormat="1" applyFont="1" applyBorder="1" applyAlignment="1">
      <alignment horizontal="center"/>
    </xf>
    <xf numFmtId="11" fontId="0" fillId="0" borderId="0" xfId="0" applyNumberFormat="1" applyBorder="1"/>
    <xf numFmtId="173" fontId="0" fillId="0" borderId="14" xfId="0" applyNumberFormat="1" applyFont="1" applyBorder="1" applyAlignment="1">
      <alignment horizontal="center"/>
    </xf>
    <xf numFmtId="174" fontId="0" fillId="0" borderId="27" xfId="0" applyNumberFormat="1" applyBorder="1"/>
    <xf numFmtId="1" fontId="30" fillId="11" borderId="22" xfId="0" applyNumberFormat="1" applyFont="1" applyFill="1" applyBorder="1"/>
    <xf numFmtId="2" fontId="0" fillId="0" borderId="18" xfId="0" applyNumberFormat="1" applyFont="1" applyFill="1" applyBorder="1" applyAlignment="1">
      <alignment horizontal="center"/>
    </xf>
    <xf numFmtId="2" fontId="0" fillId="0" borderId="12" xfId="0" applyNumberFormat="1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166" fontId="2" fillId="0" borderId="26" xfId="0" applyNumberFormat="1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32" fillId="0" borderId="18" xfId="0" applyFont="1" applyBorder="1" applyAlignment="1">
      <alignment horizontal="center"/>
    </xf>
    <xf numFmtId="166" fontId="0" fillId="0" borderId="14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14" xfId="0" applyFont="1" applyFill="1" applyBorder="1" applyAlignment="1">
      <alignment horizontal="center"/>
    </xf>
    <xf numFmtId="166" fontId="0" fillId="0" borderId="18" xfId="0" applyNumberFormat="1" applyFont="1" applyFill="1" applyBorder="1"/>
    <xf numFmtId="0" fontId="0" fillId="0" borderId="1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0" fillId="0" borderId="17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2" fontId="2" fillId="0" borderId="40" xfId="0" applyNumberFormat="1" applyFont="1" applyFill="1" applyBorder="1" applyAlignment="1">
      <alignment horizontal="center"/>
    </xf>
    <xf numFmtId="2" fontId="13" fillId="0" borderId="17" xfId="0" applyNumberFormat="1" applyFont="1" applyFill="1" applyBorder="1" applyAlignment="1">
      <alignment horizontal="center"/>
    </xf>
    <xf numFmtId="165" fontId="26" fillId="17" borderId="6" xfId="0" applyNumberFormat="1" applyFont="1" applyFill="1" applyBorder="1"/>
    <xf numFmtId="0" fontId="26" fillId="17" borderId="18" xfId="0" applyFont="1" applyFill="1" applyBorder="1" applyAlignment="1"/>
    <xf numFmtId="2" fontId="28" fillId="17" borderId="12" xfId="1" applyNumberFormat="1" applyFont="1" applyFill="1" applyBorder="1" applyAlignment="1"/>
    <xf numFmtId="0" fontId="27" fillId="18" borderId="49" xfId="3" applyFont="1" applyFill="1" applyBorder="1" applyAlignment="1">
      <alignment horizontal="center" vertical="center" textRotation="90" wrapText="1"/>
    </xf>
    <xf numFmtId="0" fontId="27" fillId="18" borderId="12" xfId="3" applyFont="1" applyFill="1" applyBorder="1" applyAlignment="1">
      <alignment horizontal="center" vertical="center" textRotation="90" wrapText="1"/>
    </xf>
    <xf numFmtId="0" fontId="27" fillId="18" borderId="12" xfId="3" applyFont="1" applyFill="1" applyBorder="1" applyAlignment="1">
      <alignment horizontal="center" vertical="center" textRotation="90"/>
    </xf>
    <xf numFmtId="0" fontId="27" fillId="18" borderId="35" xfId="3" applyFont="1" applyFill="1" applyBorder="1" applyAlignment="1">
      <alignment horizontal="center" vertical="center" textRotation="90" wrapText="1"/>
    </xf>
    <xf numFmtId="0" fontId="2" fillId="18" borderId="37" xfId="0" applyFont="1" applyFill="1" applyBorder="1"/>
    <xf numFmtId="0" fontId="27" fillId="18" borderId="37" xfId="3" applyFont="1" applyFill="1" applyBorder="1" applyAlignment="1">
      <alignment horizontal="center" vertical="center" textRotation="90" wrapText="1"/>
    </xf>
    <xf numFmtId="0" fontId="27" fillId="18" borderId="36" xfId="3" applyFont="1" applyFill="1" applyBorder="1" applyAlignment="1">
      <alignment horizontal="center" vertical="center" textRotation="90" wrapText="1"/>
    </xf>
    <xf numFmtId="0" fontId="27" fillId="18" borderId="10" xfId="3" applyFont="1" applyFill="1" applyBorder="1" applyAlignment="1">
      <alignment horizontal="center" vertical="center" textRotation="90" wrapText="1"/>
    </xf>
    <xf numFmtId="0" fontId="27" fillId="18" borderId="73" xfId="3" applyFont="1" applyFill="1" applyBorder="1" applyAlignment="1">
      <alignment horizontal="center" vertical="center" textRotation="90" wrapText="1"/>
    </xf>
    <xf numFmtId="0" fontId="29" fillId="18" borderId="7" xfId="0" applyFont="1" applyFill="1" applyBorder="1"/>
    <xf numFmtId="0" fontId="27" fillId="18" borderId="7" xfId="3" applyFont="1" applyFill="1" applyBorder="1" applyAlignment="1">
      <alignment horizontal="center" vertical="center" textRotation="90" wrapText="1"/>
    </xf>
    <xf numFmtId="0" fontId="27" fillId="18" borderId="65" xfId="3" applyFont="1" applyFill="1" applyBorder="1" applyAlignment="1">
      <alignment horizontal="center" vertical="center" textRotation="90" wrapText="1"/>
    </xf>
    <xf numFmtId="0" fontId="26" fillId="17" borderId="18" xfId="0" applyFont="1" applyFill="1" applyBorder="1"/>
    <xf numFmtId="1" fontId="26" fillId="17" borderId="12" xfId="0" applyNumberFormat="1" applyFont="1" applyFill="1" applyBorder="1"/>
    <xf numFmtId="0" fontId="27" fillId="18" borderId="12" xfId="3" applyFont="1" applyFill="1" applyBorder="1" applyAlignment="1">
      <alignment horizontal="center" vertical="center" textRotation="90" wrapText="1"/>
    </xf>
    <xf numFmtId="0" fontId="0" fillId="0" borderId="18" xfId="0" applyFont="1" applyBorder="1" applyAlignment="1"/>
    <xf numFmtId="0" fontId="0" fillId="0" borderId="32" xfId="0" applyFont="1" applyBorder="1" applyAlignment="1"/>
    <xf numFmtId="0" fontId="35" fillId="0" borderId="0" xfId="0" applyFont="1" applyFill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center"/>
    </xf>
    <xf numFmtId="0" fontId="35" fillId="20" borderId="40" xfId="0" applyFont="1" applyFill="1" applyBorder="1" applyAlignment="1">
      <alignment horizontal="center" vertical="center"/>
    </xf>
    <xf numFmtId="0" fontId="35" fillId="20" borderId="7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4" fillId="0" borderId="19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18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4" fillId="0" borderId="18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/>
    </xf>
    <xf numFmtId="165" fontId="3" fillId="0" borderId="17" xfId="1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70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5" fillId="0" borderId="54" xfId="3" applyFont="1" applyFill="1" applyBorder="1" applyAlignment="1">
      <alignment horizontal="center" vertical="center" textRotation="90" wrapText="1"/>
    </xf>
    <xf numFmtId="0" fontId="5" fillId="0" borderId="64" xfId="3" applyFont="1" applyFill="1" applyBorder="1" applyAlignment="1">
      <alignment horizontal="center" vertical="center" textRotation="90" wrapText="1"/>
    </xf>
    <xf numFmtId="0" fontId="5" fillId="0" borderId="7" xfId="3" applyFont="1" applyFill="1" applyBorder="1" applyAlignment="1">
      <alignment horizontal="center" vertical="center" textRotation="90" wrapText="1"/>
    </xf>
    <xf numFmtId="0" fontId="5" fillId="0" borderId="13" xfId="3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5" fillId="18" borderId="35" xfId="0" applyFont="1" applyFill="1" applyBorder="1" applyAlignment="1">
      <alignment horizontal="center" vertical="top"/>
    </xf>
    <xf numFmtId="0" fontId="25" fillId="18" borderId="75" xfId="0" applyFont="1" applyFill="1" applyBorder="1" applyAlignment="1">
      <alignment horizontal="center" vertical="top"/>
    </xf>
    <xf numFmtId="0" fontId="29" fillId="18" borderId="1" xfId="0" applyFont="1" applyFill="1" applyBorder="1" applyAlignment="1">
      <alignment horizontal="center"/>
    </xf>
    <xf numFmtId="0" fontId="29" fillId="18" borderId="70" xfId="0" applyFont="1" applyFill="1" applyBorder="1" applyAlignment="1">
      <alignment horizontal="center"/>
    </xf>
    <xf numFmtId="0" fontId="29" fillId="18" borderId="2" xfId="0" applyFont="1" applyFill="1" applyBorder="1" applyAlignment="1">
      <alignment horizontal="center"/>
    </xf>
    <xf numFmtId="0" fontId="27" fillId="18" borderId="31" xfId="3" applyFont="1" applyFill="1" applyBorder="1" applyAlignment="1">
      <alignment horizontal="center" vertical="center"/>
    </xf>
    <xf numFmtId="0" fontId="27" fillId="18" borderId="6" xfId="3" applyFont="1" applyFill="1" applyBorder="1" applyAlignment="1">
      <alignment horizontal="center" vertical="center"/>
    </xf>
    <xf numFmtId="0" fontId="27" fillId="18" borderId="6" xfId="3" applyFont="1" applyFill="1" applyBorder="1" applyAlignment="1">
      <alignment horizontal="center" vertical="center" wrapText="1"/>
    </xf>
    <xf numFmtId="0" fontId="27" fillId="18" borderId="6" xfId="3" applyFont="1" applyFill="1" applyBorder="1" applyAlignment="1">
      <alignment horizontal="center" vertical="center" textRotation="90" wrapText="1"/>
    </xf>
    <xf numFmtId="0" fontId="27" fillId="18" borderId="12" xfId="3" applyFont="1" applyFill="1" applyBorder="1" applyAlignment="1">
      <alignment horizontal="center" vertical="center" textRotation="90" wrapText="1"/>
    </xf>
    <xf numFmtId="0" fontId="20" fillId="0" borderId="7" xfId="3" applyFont="1" applyFill="1" applyBorder="1" applyAlignment="1">
      <alignment horizontal="center" vertical="center" textRotation="90" wrapText="1"/>
    </xf>
    <xf numFmtId="0" fontId="20" fillId="0" borderId="34" xfId="3" applyFont="1" applyFill="1" applyBorder="1" applyAlignment="1">
      <alignment horizontal="center" vertical="center" textRotation="90" wrapText="1"/>
    </xf>
    <xf numFmtId="0" fontId="20" fillId="0" borderId="13" xfId="3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33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42" xfId="0" applyBorder="1" applyAlignment="1">
      <alignment horizontal="center"/>
    </xf>
    <xf numFmtId="2" fontId="20" fillId="0" borderId="54" xfId="3" applyNumberFormat="1" applyFont="1" applyFill="1" applyBorder="1" applyAlignment="1">
      <alignment horizontal="center" vertical="center" textRotation="90" wrapText="1"/>
    </xf>
    <xf numFmtId="2" fontId="20" fillId="0" borderId="74" xfId="3" applyNumberFormat="1" applyFont="1" applyFill="1" applyBorder="1" applyAlignment="1">
      <alignment horizontal="center" vertical="center" textRotation="90" wrapText="1"/>
    </xf>
    <xf numFmtId="2" fontId="20" fillId="0" borderId="64" xfId="3" applyNumberFormat="1" applyFont="1" applyFill="1" applyBorder="1" applyAlignment="1">
      <alignment horizontal="center" vertical="center" textRotation="90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textRotation="90" wrapText="1"/>
    </xf>
    <xf numFmtId="0" fontId="5" fillId="0" borderId="11" xfId="3" applyFont="1" applyFill="1" applyBorder="1" applyAlignment="1">
      <alignment horizontal="center" vertical="center" textRotation="90" wrapText="1"/>
    </xf>
    <xf numFmtId="2" fontId="20" fillId="0" borderId="7" xfId="3" applyNumberFormat="1" applyFont="1" applyFill="1" applyBorder="1" applyAlignment="1">
      <alignment horizontal="center" vertical="center" textRotation="90" wrapText="1"/>
    </xf>
    <xf numFmtId="2" fontId="20" fillId="0" borderId="34" xfId="3" applyNumberFormat="1" applyFont="1" applyFill="1" applyBorder="1" applyAlignment="1">
      <alignment horizontal="center" vertical="center" textRotation="90" wrapText="1"/>
    </xf>
    <xf numFmtId="2" fontId="20" fillId="0" borderId="13" xfId="3" applyNumberFormat="1" applyFont="1" applyFill="1" applyBorder="1" applyAlignment="1">
      <alignment horizontal="center" vertical="center" textRotation="90" wrapText="1"/>
    </xf>
    <xf numFmtId="0" fontId="27" fillId="18" borderId="1" xfId="3" applyFont="1" applyFill="1" applyBorder="1" applyAlignment="1">
      <alignment horizontal="center" vertical="center"/>
    </xf>
    <xf numFmtId="0" fontId="27" fillId="18" borderId="2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textRotation="90" wrapText="1"/>
    </xf>
    <xf numFmtId="0" fontId="26" fillId="0" borderId="19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18" borderId="7" xfId="3" applyFont="1" applyFill="1" applyBorder="1" applyAlignment="1">
      <alignment horizontal="center" vertical="center" textRotation="90" wrapText="1"/>
    </xf>
    <xf numFmtId="0" fontId="27" fillId="18" borderId="34" xfId="3" applyFont="1" applyFill="1" applyBorder="1" applyAlignment="1">
      <alignment horizontal="center" vertical="center" textRotation="90" wrapText="1"/>
    </xf>
    <xf numFmtId="0" fontId="27" fillId="18" borderId="13" xfId="3" applyFont="1" applyFill="1" applyBorder="1" applyAlignment="1">
      <alignment horizontal="center" vertical="center" textRotation="90" wrapText="1"/>
    </xf>
    <xf numFmtId="0" fontId="27" fillId="18" borderId="54" xfId="3" applyFont="1" applyFill="1" applyBorder="1" applyAlignment="1">
      <alignment horizontal="center" vertical="center" textRotation="90" wrapText="1"/>
    </xf>
    <xf numFmtId="0" fontId="27" fillId="18" borderId="74" xfId="3" applyFont="1" applyFill="1" applyBorder="1" applyAlignment="1">
      <alignment horizontal="center" vertical="center" textRotation="90" wrapText="1"/>
    </xf>
    <xf numFmtId="0" fontId="27" fillId="18" borderId="64" xfId="3" applyFont="1" applyFill="1" applyBorder="1" applyAlignment="1">
      <alignment horizontal="center" vertical="center" textRotation="90" wrapText="1"/>
    </xf>
    <xf numFmtId="2" fontId="27" fillId="17" borderId="4" xfId="3" applyNumberFormat="1" applyFont="1" applyFill="1" applyBorder="1" applyAlignment="1">
      <alignment horizontal="center" vertical="center" textRotation="90" wrapText="1"/>
    </xf>
    <xf numFmtId="2" fontId="27" fillId="17" borderId="19" xfId="3" applyNumberFormat="1" applyFont="1" applyFill="1" applyBorder="1" applyAlignment="1">
      <alignment horizontal="center" vertical="center" textRotation="90" wrapText="1"/>
    </xf>
    <xf numFmtId="2" fontId="27" fillId="17" borderId="10" xfId="3" applyNumberFormat="1" applyFont="1" applyFill="1" applyBorder="1" applyAlignment="1">
      <alignment horizontal="center" vertical="center" textRotation="90" wrapText="1"/>
    </xf>
    <xf numFmtId="2" fontId="27" fillId="17" borderId="9" xfId="3" applyNumberFormat="1" applyFont="1" applyFill="1" applyBorder="1" applyAlignment="1">
      <alignment horizontal="center" vertical="center" textRotation="90" wrapText="1"/>
    </xf>
    <xf numFmtId="2" fontId="27" fillId="17" borderId="27" xfId="3" applyNumberFormat="1" applyFont="1" applyFill="1" applyBorder="1" applyAlignment="1">
      <alignment horizontal="center" vertical="center" textRotation="90" wrapText="1"/>
    </xf>
    <xf numFmtId="2" fontId="27" fillId="17" borderId="14" xfId="3" applyNumberFormat="1" applyFont="1" applyFill="1" applyBorder="1" applyAlignment="1">
      <alignment horizontal="center" vertical="center" textRotation="90" wrapText="1"/>
    </xf>
    <xf numFmtId="0" fontId="27" fillId="18" borderId="4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3" xfId="0" applyBorder="1" applyAlignment="1">
      <alignment horizontal="center"/>
    </xf>
    <xf numFmtId="0" fontId="6" fillId="0" borderId="5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65" xfId="0" applyFont="1" applyBorder="1" applyAlignment="1">
      <alignment horizontal="center" vertical="top" wrapText="1"/>
    </xf>
    <xf numFmtId="0" fontId="6" fillId="0" borderId="6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66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8" fillId="0" borderId="68" xfId="0" applyFont="1" applyBorder="1" applyAlignment="1">
      <alignment horizontal="left" vertical="top"/>
    </xf>
    <xf numFmtId="0" fontId="0" fillId="0" borderId="58" xfId="0" applyBorder="1" applyAlignment="1">
      <alignment horizontal="center"/>
    </xf>
    <xf numFmtId="0" fontId="27" fillId="18" borderId="70" xfId="3" applyFont="1" applyFill="1" applyBorder="1" applyAlignment="1">
      <alignment horizontal="center" vertical="center"/>
    </xf>
    <xf numFmtId="0" fontId="27" fillId="18" borderId="51" xfId="3" applyFont="1" applyFill="1" applyBorder="1" applyAlignment="1">
      <alignment horizontal="center" vertical="center"/>
    </xf>
    <xf numFmtId="0" fontId="27" fillId="18" borderId="52" xfId="3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14" borderId="75" xfId="0" applyFont="1" applyFill="1" applyBorder="1" applyAlignment="1">
      <alignment horizontal="center"/>
    </xf>
    <xf numFmtId="0" fontId="2" fillId="14" borderId="70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3" fontId="16" fillId="15" borderId="73" xfId="2" applyNumberFormat="1" applyFont="1" applyFill="1" applyBorder="1" applyAlignment="1">
      <alignment horizontal="center" vertical="center"/>
    </xf>
    <xf numFmtId="3" fontId="16" fillId="15" borderId="15" xfId="2" applyNumberFormat="1" applyFont="1" applyFill="1" applyBorder="1" applyAlignment="1">
      <alignment horizontal="center" vertical="center"/>
    </xf>
    <xf numFmtId="0" fontId="35" fillId="20" borderId="75" xfId="0" applyFont="1" applyFill="1" applyBorder="1" applyAlignment="1">
      <alignment horizontal="center" vertical="center"/>
    </xf>
    <xf numFmtId="0" fontId="35" fillId="20" borderId="70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/>
    </xf>
    <xf numFmtId="0" fontId="34" fillId="19" borderId="70" xfId="0" applyFont="1" applyFill="1" applyBorder="1" applyAlignment="1">
      <alignment horizontal="center" vertical="center"/>
    </xf>
    <xf numFmtId="0" fontId="34" fillId="19" borderId="2" xfId="0" applyFont="1" applyFill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166" fontId="0" fillId="0" borderId="60" xfId="0" applyNumberFormat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166" fontId="0" fillId="0" borderId="61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0" fontId="24" fillId="4" borderId="23" xfId="0" applyFont="1" applyFill="1" applyBorder="1" applyAlignment="1">
      <alignment horizontal="center" wrapText="1"/>
    </xf>
    <xf numFmtId="0" fontId="24" fillId="4" borderId="25" xfId="0" applyFont="1" applyFill="1" applyBorder="1" applyAlignment="1">
      <alignment horizontal="center" wrapText="1"/>
    </xf>
    <xf numFmtId="0" fontId="0" fillId="4" borderId="28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24" fillId="0" borderId="9" xfId="0" applyNumberFormat="1" applyFont="1" applyBorder="1" applyAlignment="1">
      <alignment horizontal="center" vertical="center" wrapText="1"/>
    </xf>
    <xf numFmtId="0" fontId="24" fillId="0" borderId="50" xfId="0" applyNumberFormat="1" applyFont="1" applyBorder="1" applyAlignment="1">
      <alignment horizontal="center" vertical="center" wrapText="1"/>
    </xf>
    <xf numFmtId="0" fontId="24" fillId="0" borderId="14" xfId="0" applyNumberFormat="1" applyFont="1" applyBorder="1" applyAlignment="1">
      <alignment horizontal="center" vertical="center" wrapText="1"/>
    </xf>
    <xf numFmtId="166" fontId="24" fillId="0" borderId="9" xfId="0" applyNumberFormat="1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167" fontId="24" fillId="0" borderId="38" xfId="0" applyNumberFormat="1" applyFont="1" applyBorder="1" applyAlignment="1">
      <alignment horizontal="center" vertical="center"/>
    </xf>
    <xf numFmtId="167" fontId="24" fillId="0" borderId="55" xfId="0" applyNumberFormat="1" applyFont="1" applyBorder="1" applyAlignment="1">
      <alignment horizontal="center" vertical="center"/>
    </xf>
    <xf numFmtId="166" fontId="24" fillId="0" borderId="53" xfId="0" applyNumberFormat="1" applyFont="1" applyBorder="1" applyAlignment="1">
      <alignment horizontal="center" vertical="center"/>
    </xf>
    <xf numFmtId="166" fontId="24" fillId="0" borderId="6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16" borderId="21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167" fontId="24" fillId="0" borderId="23" xfId="0" applyNumberFormat="1" applyFont="1" applyBorder="1" applyAlignment="1">
      <alignment horizontal="center" vertical="center"/>
    </xf>
    <xf numFmtId="166" fontId="24" fillId="0" borderId="6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166" fontId="0" fillId="0" borderId="50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50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24" fillId="0" borderId="53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/>
    </xf>
    <xf numFmtId="0" fontId="24" fillId="16" borderId="2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166" fontId="24" fillId="0" borderId="50" xfId="0" applyNumberFormat="1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6" fontId="0" fillId="0" borderId="26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4" borderId="23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0" borderId="53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NumberFormat="1" applyBorder="1" applyAlignment="1">
      <alignment horizontal="center" vertical="center"/>
    </xf>
    <xf numFmtId="0" fontId="0" fillId="0" borderId="59" xfId="0" applyNumberForma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0" fillId="0" borderId="58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15" borderId="35" xfId="0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5" borderId="7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15" borderId="36" xfId="0" applyFill="1" applyBorder="1" applyAlignment="1">
      <alignment horizontal="center"/>
    </xf>
    <xf numFmtId="167" fontId="24" fillId="0" borderId="28" xfId="0" applyNumberFormat="1" applyFont="1" applyBorder="1" applyAlignment="1">
      <alignment horizontal="center" vertical="center"/>
    </xf>
    <xf numFmtId="166" fontId="24" fillId="0" borderId="61" xfId="0" applyNumberFormat="1" applyFont="1" applyBorder="1" applyAlignment="1">
      <alignment horizontal="center" vertical="center"/>
    </xf>
    <xf numFmtId="2" fontId="24" fillId="0" borderId="56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2" fontId="24" fillId="0" borderId="59" xfId="0" applyNumberFormat="1" applyFont="1" applyBorder="1" applyAlignment="1">
      <alignment horizontal="center" vertical="center"/>
    </xf>
    <xf numFmtId="2" fontId="24" fillId="0" borderId="57" xfId="0" applyNumberFormat="1" applyFont="1" applyBorder="1" applyAlignment="1">
      <alignment horizontal="center" vertical="center"/>
    </xf>
    <xf numFmtId="0" fontId="2" fillId="10" borderId="19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33" fillId="10" borderId="1" xfId="0" applyFont="1" applyFill="1" applyBorder="1" applyAlignment="1">
      <alignment horizontal="center"/>
    </xf>
    <xf numFmtId="0" fontId="33" fillId="10" borderId="70" xfId="0" applyFont="1" applyFill="1" applyBorder="1" applyAlignment="1">
      <alignment horizontal="center"/>
    </xf>
    <xf numFmtId="0" fontId="33" fillId="10" borderId="2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19" xfId="0" applyFont="1" applyBorder="1" applyAlignment="1"/>
    <xf numFmtId="0" fontId="13" fillId="0" borderId="18" xfId="0" applyFont="1" applyBorder="1" applyAlignment="1"/>
    <xf numFmtId="0" fontId="0" fillId="0" borderId="19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15" borderId="38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0" borderId="7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2" fillId="15" borderId="4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15" borderId="35" xfId="0" applyFont="1" applyFill="1" applyBorder="1" applyAlignment="1">
      <alignment horizontal="center"/>
    </xf>
    <xf numFmtId="0" fontId="2" fillId="15" borderId="37" xfId="0" applyFont="1" applyFill="1" applyBorder="1" applyAlignment="1">
      <alignment horizontal="center"/>
    </xf>
    <xf numFmtId="0" fontId="2" fillId="15" borderId="40" xfId="0" applyFont="1" applyFill="1" applyBorder="1" applyAlignment="1">
      <alignment horizontal="center"/>
    </xf>
    <xf numFmtId="0" fontId="0" fillId="7" borderId="79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6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7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49" xfId="0" applyFont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0" fillId="17" borderId="78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0" fillId="17" borderId="59" xfId="0" applyFill="1" applyBorder="1" applyAlignment="1">
      <alignment horizontal="center" vertical="center"/>
    </xf>
    <xf numFmtId="0" fontId="0" fillId="0" borderId="72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2" fillId="10" borderId="35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33" fillId="10" borderId="77" xfId="0" applyFont="1" applyFill="1" applyBorder="1" applyAlignment="1">
      <alignment horizontal="center"/>
    </xf>
    <xf numFmtId="0" fontId="33" fillId="10" borderId="76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36" xfId="0" applyFont="1" applyFill="1" applyBorder="1" applyAlignment="1">
      <alignment horizontal="left"/>
    </xf>
    <xf numFmtId="0" fontId="0" fillId="0" borderId="72" xfId="0" applyFont="1" applyBorder="1" applyAlignment="1"/>
    <xf numFmtId="0" fontId="0" fillId="0" borderId="24" xfId="0" applyFont="1" applyBorder="1" applyAlignment="1"/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10" borderId="38" xfId="0" applyFont="1" applyFill="1" applyBorder="1" applyAlignment="1"/>
    <xf numFmtId="0" fontId="2" fillId="10" borderId="31" xfId="0" applyFont="1" applyFill="1" applyBorder="1" applyAlignment="1"/>
    <xf numFmtId="0" fontId="13" fillId="0" borderId="72" xfId="0" applyFont="1" applyBorder="1" applyAlignment="1"/>
    <xf numFmtId="0" fontId="13" fillId="0" borderId="24" xfId="0" applyFont="1" applyBorder="1" applyAlignment="1"/>
    <xf numFmtId="0" fontId="0" fillId="0" borderId="23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8" xfId="0" applyFont="1" applyBorder="1" applyAlignment="1">
      <alignment horizontal="left" wrapText="1"/>
    </xf>
    <xf numFmtId="0" fontId="0" fillId="0" borderId="49" xfId="0" applyFont="1" applyBorder="1" applyAlignment="1">
      <alignment horizontal="left" wrapText="1"/>
    </xf>
    <xf numFmtId="0" fontId="2" fillId="10" borderId="1" xfId="0" applyFont="1" applyFill="1" applyBorder="1" applyAlignment="1">
      <alignment horizontal="center"/>
    </xf>
    <xf numFmtId="0" fontId="2" fillId="10" borderId="7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0" fillId="0" borderId="19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175" fontId="0" fillId="0" borderId="0" xfId="0" applyNumberFormat="1"/>
    <xf numFmtId="0" fontId="0" fillId="0" borderId="0" xfId="0" applyBorder="1" applyAlignment="1">
      <alignment horizontal="center" vertical="center"/>
    </xf>
    <xf numFmtId="166" fontId="0" fillId="2" borderId="0" xfId="0" applyNumberFormat="1" applyFill="1" applyBorder="1"/>
    <xf numFmtId="0" fontId="0" fillId="0" borderId="15" xfId="0" applyFill="1" applyBorder="1"/>
    <xf numFmtId="0" fontId="0" fillId="0" borderId="17" xfId="0" applyNumberFormat="1" applyBorder="1"/>
    <xf numFmtId="1" fontId="0" fillId="0" borderId="17" xfId="0" applyNumberFormat="1" applyBorder="1"/>
    <xf numFmtId="166" fontId="0" fillId="0" borderId="26" xfId="0" applyNumberFormat="1" applyBorder="1"/>
    <xf numFmtId="0" fontId="2" fillId="14" borderId="37" xfId="0" applyFont="1" applyFill="1" applyBorder="1" applyAlignment="1">
      <alignment horizontal="center"/>
    </xf>
    <xf numFmtId="0" fontId="0" fillId="0" borderId="32" xfId="0" applyNumberFormat="1" applyBorder="1"/>
    <xf numFmtId="1" fontId="0" fillId="0" borderId="32" xfId="0" applyNumberFormat="1" applyBorder="1"/>
    <xf numFmtId="166" fontId="0" fillId="0" borderId="50" xfId="0" applyNumberFormat="1" applyBorder="1"/>
    <xf numFmtId="0" fontId="0" fillId="0" borderId="35" xfId="0" applyNumberFormat="1" applyBorder="1" applyAlignment="1">
      <alignment horizontal="center"/>
    </xf>
    <xf numFmtId="0" fontId="0" fillId="0" borderId="37" xfId="0" applyNumberFormat="1" applyBorder="1" applyAlignment="1">
      <alignment horizontal="center"/>
    </xf>
    <xf numFmtId="1" fontId="2" fillId="14" borderId="75" xfId="0" applyNumberFormat="1" applyFont="1" applyFill="1" applyBorder="1"/>
    <xf numFmtId="166" fontId="2" fillId="14" borderId="80" xfId="0" applyNumberFormat="1" applyFont="1" applyFill="1" applyBorder="1"/>
    <xf numFmtId="1" fontId="0" fillId="0" borderId="7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0" fontId="0" fillId="0" borderId="52" xfId="0" applyBorder="1" applyAlignment="1">
      <alignment horizontal="center"/>
    </xf>
    <xf numFmtId="165" fontId="0" fillId="0" borderId="79" xfId="0" applyNumberFormat="1" applyBorder="1"/>
    <xf numFmtId="165" fontId="0" fillId="7" borderId="0" xfId="0" applyNumberFormat="1" applyFill="1" applyBorder="1"/>
    <xf numFmtId="165" fontId="0" fillId="7" borderId="0" xfId="0" applyNumberFormat="1" applyFill="1" applyBorder="1" applyAlignment="1">
      <alignment vertical="center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27" fillId="18" borderId="9" xfId="3" applyFont="1" applyFill="1" applyBorder="1" applyAlignment="1">
      <alignment horizontal="center" vertical="center" textRotation="90" wrapText="1"/>
    </xf>
    <xf numFmtId="0" fontId="27" fillId="18" borderId="1" xfId="3" applyFont="1" applyFill="1" applyBorder="1" applyAlignment="1">
      <alignment horizontal="center" vertical="center" wrapText="1"/>
    </xf>
    <xf numFmtId="0" fontId="27" fillId="18" borderId="70" xfId="3" applyFont="1" applyFill="1" applyBorder="1" applyAlignment="1">
      <alignment horizontal="center" vertical="center" wrapText="1"/>
    </xf>
    <xf numFmtId="0" fontId="27" fillId="18" borderId="14" xfId="3" applyFont="1" applyFill="1" applyBorder="1" applyAlignment="1">
      <alignment horizontal="center" vertical="center" textRotation="90" wrapText="1"/>
    </xf>
    <xf numFmtId="0" fontId="27" fillId="18" borderId="40" xfId="3" applyFont="1" applyFill="1" applyBorder="1" applyAlignment="1">
      <alignment horizontal="center" vertical="center" textRotation="90" wrapText="1"/>
    </xf>
    <xf numFmtId="1" fontId="0" fillId="0" borderId="76" xfId="0" applyNumberFormat="1" applyBorder="1" applyAlignment="1">
      <alignment horizontal="center"/>
    </xf>
    <xf numFmtId="0" fontId="0" fillId="0" borderId="70" xfId="0" applyBorder="1" applyAlignment="1">
      <alignment horizontal="center"/>
    </xf>
    <xf numFmtId="165" fontId="0" fillId="7" borderId="76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0" fontId="0" fillId="18" borderId="77" xfId="0" applyFill="1" applyBorder="1" applyAlignment="1">
      <alignment horizontal="center" wrapText="1"/>
    </xf>
    <xf numFmtId="0" fontId="0" fillId="18" borderId="71" xfId="0" applyFill="1" applyBorder="1" applyAlignment="1">
      <alignment horizontal="center" wrapText="1"/>
    </xf>
    <xf numFmtId="0" fontId="0" fillId="0" borderId="72" xfId="0" applyFont="1" applyBorder="1" applyAlignment="1">
      <alignment vertical="center"/>
    </xf>
    <xf numFmtId="0" fontId="0" fillId="0" borderId="24" xfId="0" applyFont="1" applyBorder="1" applyAlignment="1">
      <alignment vertical="center"/>
    </xf>
  </cellXfs>
  <cellStyles count="150">
    <cellStyle name="20% - Énfasis1 2" xfId="14"/>
    <cellStyle name="Euro" xfId="15"/>
    <cellStyle name="F2" xfId="16"/>
    <cellStyle name="F3" xfId="17"/>
    <cellStyle name="F4" xfId="18"/>
    <cellStyle name="F5" xfId="19"/>
    <cellStyle name="F6" xfId="20"/>
    <cellStyle name="F7" xfId="21"/>
    <cellStyle name="F8" xfId="22"/>
    <cellStyle name="Millares" xfId="1" builtinId="3"/>
    <cellStyle name="Millares 2" xfId="7"/>
    <cellStyle name="Millares 2 2" xfId="23"/>
    <cellStyle name="Millares 3" xfId="24"/>
    <cellStyle name="Millares 4" xfId="25"/>
    <cellStyle name="Millares 5" xfId="26"/>
    <cellStyle name="Millares 5 2" xfId="27"/>
    <cellStyle name="Millares 6" xfId="28"/>
    <cellStyle name="Normal" xfId="0" builtinId="0"/>
    <cellStyle name="Normal 10" xfId="29"/>
    <cellStyle name="Normal 100" xfId="30"/>
    <cellStyle name="Normal 101" xfId="31"/>
    <cellStyle name="Normal 102" xfId="32"/>
    <cellStyle name="Normal 103" xfId="33"/>
    <cellStyle name="Normal 104" xfId="34"/>
    <cellStyle name="Normal 105" xfId="35"/>
    <cellStyle name="Normal 106" xfId="36"/>
    <cellStyle name="Normal 107" xfId="37"/>
    <cellStyle name="Normal 108" xfId="38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17" xfId="45"/>
    <cellStyle name="Normal 18" xfId="46"/>
    <cellStyle name="Normal 19" xfId="47"/>
    <cellStyle name="Normal 2" xfId="6"/>
    <cellStyle name="Normal 2 10" xfId="48"/>
    <cellStyle name="Normal 2 2" xfId="11"/>
    <cellStyle name="Normal 2 2 2" xfId="50"/>
    <cellStyle name="Normal 2 2 3" xfId="49"/>
    <cellStyle name="Normal 20" xfId="51"/>
    <cellStyle name="Normal 21" xfId="52"/>
    <cellStyle name="Normal 22" xfId="53"/>
    <cellStyle name="Normal 23" xfId="54"/>
    <cellStyle name="Normal 24" xfId="55"/>
    <cellStyle name="Normal 25" xfId="56"/>
    <cellStyle name="Normal 26" xfId="57"/>
    <cellStyle name="Normal 26 2" xfId="58"/>
    <cellStyle name="Normal 27" xfId="59"/>
    <cellStyle name="Normal 28" xfId="60"/>
    <cellStyle name="Normal 29" xfId="61"/>
    <cellStyle name="Normal 3" xfId="8"/>
    <cellStyle name="Normal 3 2" xfId="12"/>
    <cellStyle name="Normal 30" xfId="62"/>
    <cellStyle name="Normal 31" xfId="63"/>
    <cellStyle name="Normal 32" xfId="64"/>
    <cellStyle name="Normal 33" xfId="65"/>
    <cellStyle name="Normal 34" xfId="66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3"/>
    <cellStyle name="Normal 4 2 2" xfId="13"/>
    <cellStyle name="Normal 40" xfId="72"/>
    <cellStyle name="Normal 41" xfId="73"/>
    <cellStyle name="Normal 42" xfId="74"/>
    <cellStyle name="Normal 43" xfId="75"/>
    <cellStyle name="Normal 44" xfId="76"/>
    <cellStyle name="Normal 45" xfId="77"/>
    <cellStyle name="Normal 46" xfId="78"/>
    <cellStyle name="Normal 47" xfId="79"/>
    <cellStyle name="Normal 48" xfId="80"/>
    <cellStyle name="Normal 49" xfId="81"/>
    <cellStyle name="Normal 5" xfId="9"/>
    <cellStyle name="Normal 5 2" xfId="82"/>
    <cellStyle name="Normal 50" xfId="83"/>
    <cellStyle name="Normal 51" xfId="84"/>
    <cellStyle name="Normal 52" xfId="85"/>
    <cellStyle name="Normal 53" xfId="86"/>
    <cellStyle name="Normal 54" xfId="87"/>
    <cellStyle name="Normal 55" xfId="88"/>
    <cellStyle name="Normal 56" xfId="89"/>
    <cellStyle name="Normal 57" xfId="90"/>
    <cellStyle name="Normal 58" xfId="91"/>
    <cellStyle name="Normal 59" xfId="92"/>
    <cellStyle name="Normal 6" xfId="5"/>
    <cellStyle name="Normal 6 2" xfId="94"/>
    <cellStyle name="Normal 6 3" xfId="93"/>
    <cellStyle name="Normal 60" xfId="95"/>
    <cellStyle name="Normal 61" xfId="96"/>
    <cellStyle name="Normal 62" xfId="97"/>
    <cellStyle name="Normal 63" xfId="98"/>
    <cellStyle name="Normal 64" xfId="99"/>
    <cellStyle name="Normal 65" xfId="100"/>
    <cellStyle name="Normal 66" xfId="101"/>
    <cellStyle name="Normal 67" xfId="102"/>
    <cellStyle name="Normal 68" xfId="103"/>
    <cellStyle name="Normal 69" xfId="104"/>
    <cellStyle name="Normal 7" xfId="105"/>
    <cellStyle name="Normal 7 2" xfId="106"/>
    <cellStyle name="Normal 70" xfId="107"/>
    <cellStyle name="Normal 71" xfId="108"/>
    <cellStyle name="Normal 72" xfId="109"/>
    <cellStyle name="Normal 73" xfId="110"/>
    <cellStyle name="Normal 74" xfId="111"/>
    <cellStyle name="Normal 75" xfId="112"/>
    <cellStyle name="Normal 76" xfId="113"/>
    <cellStyle name="Normal 77" xfId="114"/>
    <cellStyle name="Normal 78" xfId="115"/>
    <cellStyle name="Normal 79" xfId="116"/>
    <cellStyle name="Normal 8" xfId="117"/>
    <cellStyle name="Normal 8 2" xfId="149"/>
    <cellStyle name="Normal 80" xfId="118"/>
    <cellStyle name="Normal 81" xfId="119"/>
    <cellStyle name="Normal 82" xfId="120"/>
    <cellStyle name="Normal 83" xfId="121"/>
    <cellStyle name="Normal 84" xfId="122"/>
    <cellStyle name="Normal 85" xfId="123"/>
    <cellStyle name="Normal 86" xfId="124"/>
    <cellStyle name="Normal 87" xfId="125"/>
    <cellStyle name="Normal 88" xfId="126"/>
    <cellStyle name="Normal 89" xfId="127"/>
    <cellStyle name="Normal 9" xfId="128"/>
    <cellStyle name="Normal 90" xfId="129"/>
    <cellStyle name="Normal 91" xfId="130"/>
    <cellStyle name="Normal 92" xfId="131"/>
    <cellStyle name="Normal 93" xfId="132"/>
    <cellStyle name="Normal 94" xfId="133"/>
    <cellStyle name="Normal 95" xfId="134"/>
    <cellStyle name="Normal 96" xfId="135"/>
    <cellStyle name="Normal 97" xfId="136"/>
    <cellStyle name="Normal 98" xfId="137"/>
    <cellStyle name="Normal 99" xfId="138"/>
    <cellStyle name="Porcentaje" xfId="4" builtinId="5"/>
    <cellStyle name="Porcentaje 2" xfId="139"/>
    <cellStyle name="Porcentaje 3" xfId="140"/>
    <cellStyle name="Porcentaje 4" xfId="141"/>
    <cellStyle name="Porcentual 2" xfId="10"/>
    <cellStyle name="Porcentual 2 2" xfId="143"/>
    <cellStyle name="Porcentual 2 3" xfId="142"/>
    <cellStyle name="Porcentual 3" xfId="144"/>
    <cellStyle name="Porcentual 3 2" xfId="145"/>
    <cellStyle name="Porcentual 4" xfId="146"/>
    <cellStyle name="Porcentual 5" xfId="147"/>
    <cellStyle name="Porcentual 7" xfId="148"/>
  </cellStyles>
  <dxfs count="0"/>
  <tableStyles count="0" defaultTableStyle="TableStyleMedium2" defaultPivotStyle="PivotStyleLight16"/>
  <colors>
    <mruColors>
      <color rgb="FFE7F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'conteo 1'!$A$175:$B$186</c:f>
              <c:multiLvlStrCache>
                <c:ptCount val="12"/>
                <c:lvl>
                  <c:pt idx="0">
                    <c:v>8:00:00</c:v>
                  </c:pt>
                  <c:pt idx="1">
                    <c:v>9:00:00</c:v>
                  </c:pt>
                  <c:pt idx="2">
                    <c:v>10:00:00</c:v>
                  </c:pt>
                  <c:pt idx="3">
                    <c:v>11:00:00</c:v>
                  </c:pt>
                  <c:pt idx="4">
                    <c:v>12:00:00</c:v>
                  </c:pt>
                  <c:pt idx="5">
                    <c:v>13:00:00</c:v>
                  </c:pt>
                  <c:pt idx="6">
                    <c:v>14:00:00</c:v>
                  </c:pt>
                  <c:pt idx="7">
                    <c:v>15:00:00</c:v>
                  </c:pt>
                  <c:pt idx="8">
                    <c:v>16:00:00</c:v>
                  </c:pt>
                  <c:pt idx="9">
                    <c:v>17:00:00</c:v>
                  </c:pt>
                  <c:pt idx="10">
                    <c:v>18:00:00</c:v>
                  </c:pt>
                  <c:pt idx="11">
                    <c:v>19:00:00</c:v>
                  </c:pt>
                </c:lvl>
                <c:lvl>
                  <c:pt idx="0">
                    <c:v>7:00:00</c:v>
                  </c:pt>
                  <c:pt idx="1">
                    <c:v>8:00:00</c:v>
                  </c:pt>
                  <c:pt idx="2">
                    <c:v>9:00:00</c:v>
                  </c:pt>
                  <c:pt idx="3">
                    <c:v>10:00:00</c:v>
                  </c:pt>
                  <c:pt idx="4">
                    <c:v>11:00:00</c:v>
                  </c:pt>
                  <c:pt idx="5">
                    <c:v>12:00:00</c:v>
                  </c:pt>
                  <c:pt idx="6">
                    <c:v>13:00:00</c:v>
                  </c:pt>
                  <c:pt idx="7">
                    <c:v>14:00:00</c:v>
                  </c:pt>
                  <c:pt idx="8">
                    <c:v>15:00:00</c:v>
                  </c:pt>
                  <c:pt idx="9">
                    <c:v>16:00:00</c:v>
                  </c:pt>
                  <c:pt idx="10">
                    <c:v>17:00:00</c:v>
                  </c:pt>
                  <c:pt idx="11">
                    <c:v>18:00:00</c:v>
                  </c:pt>
                </c:lvl>
              </c:multiLvlStrCache>
            </c:multiLvlStrRef>
          </c:cat>
          <c:val>
            <c:numRef>
              <c:f>'conteo 1'!$I$175:$I$186</c:f>
              <c:numCache>
                <c:formatCode>_(* #,##0_);_(* \(#,##0\);_(* "-"??_);_(@_)</c:formatCode>
                <c:ptCount val="12"/>
                <c:pt idx="0">
                  <c:v>106</c:v>
                </c:pt>
                <c:pt idx="1">
                  <c:v>135</c:v>
                </c:pt>
                <c:pt idx="2">
                  <c:v>134</c:v>
                </c:pt>
                <c:pt idx="3">
                  <c:v>122</c:v>
                </c:pt>
                <c:pt idx="4">
                  <c:v>131</c:v>
                </c:pt>
                <c:pt idx="5">
                  <c:v>166</c:v>
                </c:pt>
                <c:pt idx="6">
                  <c:v>172</c:v>
                </c:pt>
                <c:pt idx="7">
                  <c:v>156</c:v>
                </c:pt>
                <c:pt idx="8">
                  <c:v>148</c:v>
                </c:pt>
                <c:pt idx="9">
                  <c:v>124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8-4C66-B498-52BC41715511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'conteo 1'!$A$175:$B$186</c:f>
              <c:multiLvlStrCache>
                <c:ptCount val="12"/>
                <c:lvl>
                  <c:pt idx="0">
                    <c:v>8:00:00</c:v>
                  </c:pt>
                  <c:pt idx="1">
                    <c:v>9:00:00</c:v>
                  </c:pt>
                  <c:pt idx="2">
                    <c:v>10:00:00</c:v>
                  </c:pt>
                  <c:pt idx="3">
                    <c:v>11:00:00</c:v>
                  </c:pt>
                  <c:pt idx="4">
                    <c:v>12:00:00</c:v>
                  </c:pt>
                  <c:pt idx="5">
                    <c:v>13:00:00</c:v>
                  </c:pt>
                  <c:pt idx="6">
                    <c:v>14:00:00</c:v>
                  </c:pt>
                  <c:pt idx="7">
                    <c:v>15:00:00</c:v>
                  </c:pt>
                  <c:pt idx="8">
                    <c:v>16:00:00</c:v>
                  </c:pt>
                  <c:pt idx="9">
                    <c:v>17:00:00</c:v>
                  </c:pt>
                  <c:pt idx="10">
                    <c:v>18:00:00</c:v>
                  </c:pt>
                  <c:pt idx="11">
                    <c:v>19:00:00</c:v>
                  </c:pt>
                </c:lvl>
                <c:lvl>
                  <c:pt idx="0">
                    <c:v>7:00:00</c:v>
                  </c:pt>
                  <c:pt idx="1">
                    <c:v>8:00:00</c:v>
                  </c:pt>
                  <c:pt idx="2">
                    <c:v>9:00:00</c:v>
                  </c:pt>
                  <c:pt idx="3">
                    <c:v>10:00:00</c:v>
                  </c:pt>
                  <c:pt idx="4">
                    <c:v>11:00:00</c:v>
                  </c:pt>
                  <c:pt idx="5">
                    <c:v>12:00:00</c:v>
                  </c:pt>
                  <c:pt idx="6">
                    <c:v>13:00:00</c:v>
                  </c:pt>
                  <c:pt idx="7">
                    <c:v>14:00:00</c:v>
                  </c:pt>
                  <c:pt idx="8">
                    <c:v>15:00:00</c:v>
                  </c:pt>
                  <c:pt idx="9">
                    <c:v>16:00:00</c:v>
                  </c:pt>
                  <c:pt idx="10">
                    <c:v>17:00:00</c:v>
                  </c:pt>
                  <c:pt idx="11">
                    <c:v>18:00:00</c:v>
                  </c:pt>
                </c:lvl>
              </c:multiLvlStrCache>
            </c:multiLvlStrRef>
          </c:cat>
          <c:val>
            <c:numRef>
              <c:f>'conteo 1'!$S$175:$S$186</c:f>
              <c:numCache>
                <c:formatCode>_(* #,##0_);_(* \(#,##0\);_(* "-"??_);_(@_)</c:formatCode>
                <c:ptCount val="12"/>
                <c:pt idx="0">
                  <c:v>130</c:v>
                </c:pt>
                <c:pt idx="1">
                  <c:v>98</c:v>
                </c:pt>
                <c:pt idx="2">
                  <c:v>104</c:v>
                </c:pt>
                <c:pt idx="3">
                  <c:v>124</c:v>
                </c:pt>
                <c:pt idx="4">
                  <c:v>100</c:v>
                </c:pt>
                <c:pt idx="5">
                  <c:v>112</c:v>
                </c:pt>
                <c:pt idx="6">
                  <c:v>125</c:v>
                </c:pt>
                <c:pt idx="7">
                  <c:v>130</c:v>
                </c:pt>
                <c:pt idx="8">
                  <c:v>122</c:v>
                </c:pt>
                <c:pt idx="9">
                  <c:v>122</c:v>
                </c:pt>
                <c:pt idx="10">
                  <c:v>121</c:v>
                </c:pt>
                <c:pt idx="1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8-4C66-B498-52BC4171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84051968"/>
        <c:axId val="891800256"/>
      </c:lineChart>
      <c:catAx>
        <c:axId val="88405196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1800256"/>
        <c:crosses val="autoZero"/>
        <c:auto val="1"/>
        <c:lblAlgn val="ctr"/>
        <c:lblOffset val="100"/>
        <c:noMultiLvlLbl val="0"/>
      </c:catAx>
      <c:valAx>
        <c:axId val="89180025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4051968"/>
        <c:crossesAt val="1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gif"/><Relationship Id="rId7" Type="http://schemas.openxmlformats.org/officeDocument/2006/relationships/image" Target="../media/image13.gif"/><Relationship Id="rId2" Type="http://schemas.openxmlformats.org/officeDocument/2006/relationships/image" Target="../media/image8.gi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9.gif"/><Relationship Id="rId7" Type="http://schemas.openxmlformats.org/officeDocument/2006/relationships/image" Target="../media/image14.png"/><Relationship Id="rId12" Type="http://schemas.openxmlformats.org/officeDocument/2006/relationships/image" Target="../media/image18.png"/><Relationship Id="rId2" Type="http://schemas.openxmlformats.org/officeDocument/2006/relationships/image" Target="../media/image8.gi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3.gif"/><Relationship Id="rId5" Type="http://schemas.openxmlformats.org/officeDocument/2006/relationships/image" Target="../media/image11.png"/><Relationship Id="rId10" Type="http://schemas.openxmlformats.org/officeDocument/2006/relationships/image" Target="../media/image17.png"/><Relationship Id="rId4" Type="http://schemas.openxmlformats.org/officeDocument/2006/relationships/image" Target="../media/image10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9525</xdr:rowOff>
    </xdr:from>
    <xdr:to>
      <xdr:col>3</xdr:col>
      <xdr:colOff>190500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9525"/>
          <a:ext cx="1876426" cy="533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121022</xdr:colOff>
      <xdr:row>0</xdr:row>
      <xdr:rowOff>97491</xdr:rowOff>
    </xdr:from>
    <xdr:to>
      <xdr:col>3</xdr:col>
      <xdr:colOff>210243</xdr:colOff>
      <xdr:row>2</xdr:row>
      <xdr:rowOff>156882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22" y="97491"/>
          <a:ext cx="1862419" cy="440391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488887</xdr:colOff>
      <xdr:row>141</xdr:row>
      <xdr:rowOff>31660</xdr:rowOff>
    </xdr:from>
    <xdr:to>
      <xdr:col>27</xdr:col>
      <xdr:colOff>24171</xdr:colOff>
      <xdr:row>151</xdr:row>
      <xdr:rowOff>40593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F2FE84-A37A-42BE-AB44-9A19C17B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387" y="29110925"/>
          <a:ext cx="2986697" cy="1926340"/>
        </a:xfrm>
        <a:prstGeom prst="rect">
          <a:avLst/>
        </a:prstGeom>
      </xdr:spPr>
    </xdr:pic>
    <xdr:clientData/>
  </xdr:twoCellAnchor>
  <xdr:twoCellAnchor>
    <xdr:from>
      <xdr:col>22</xdr:col>
      <xdr:colOff>367394</xdr:colOff>
      <xdr:row>172</xdr:row>
      <xdr:rowOff>261258</xdr:rowOff>
    </xdr:from>
    <xdr:to>
      <xdr:col>31</xdr:col>
      <xdr:colOff>181430</xdr:colOff>
      <xdr:row>186</xdr:row>
      <xdr:rowOff>113393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2997E7E-72BE-4C31-90C2-4CBB70D3E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354417</xdr:colOff>
      <xdr:row>59</xdr:row>
      <xdr:rowOff>166131</xdr:rowOff>
    </xdr:from>
    <xdr:to>
      <xdr:col>20</xdr:col>
      <xdr:colOff>0</xdr:colOff>
      <xdr:row>69</xdr:row>
      <xdr:rowOff>142648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475684-5A91-41BB-8D9B-91FC387B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367" y="30531831"/>
          <a:ext cx="2997342" cy="1919617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0</xdr:row>
      <xdr:rowOff>19050</xdr:rowOff>
    </xdr:from>
    <xdr:to>
      <xdr:col>4</xdr:col>
      <xdr:colOff>14398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943B1C-A318-43EF-89C2-E8BC6407D0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9050"/>
          <a:ext cx="1879970" cy="5334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354417</xdr:colOff>
      <xdr:row>59</xdr:row>
      <xdr:rowOff>166131</xdr:rowOff>
    </xdr:from>
    <xdr:to>
      <xdr:col>20</xdr:col>
      <xdr:colOff>0</xdr:colOff>
      <xdr:row>69</xdr:row>
      <xdr:rowOff>142648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681610-EB50-4810-B32A-958011C3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367" y="30531831"/>
          <a:ext cx="2997342" cy="1919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</xdr:colOff>
      <xdr:row>15</xdr:row>
      <xdr:rowOff>190500</xdr:rowOff>
    </xdr:from>
    <xdr:to>
      <xdr:col>32</xdr:col>
      <xdr:colOff>582263</xdr:colOff>
      <xdr:row>28</xdr:row>
      <xdr:rowOff>22539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8631ACAC-8AB2-49C1-831A-6F8F1717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3105150"/>
          <a:ext cx="2858738" cy="2670489"/>
        </a:xfrm>
        <a:prstGeom prst="rect">
          <a:avLst/>
        </a:prstGeom>
      </xdr:spPr>
    </xdr:pic>
    <xdr:clientData/>
  </xdr:twoCellAnchor>
  <xdr:twoCellAnchor editAs="oneCell">
    <xdr:from>
      <xdr:col>24</xdr:col>
      <xdr:colOff>581025</xdr:colOff>
      <xdr:row>16</xdr:row>
      <xdr:rowOff>104775</xdr:rowOff>
    </xdr:from>
    <xdr:to>
      <xdr:col>28</xdr:col>
      <xdr:colOff>523379</xdr:colOff>
      <xdr:row>29</xdr:row>
      <xdr:rowOff>19247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CDBC66D2-314B-4697-A6ED-15A3C34D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49750" y="3209925"/>
          <a:ext cx="2990354" cy="2752922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0</xdr:row>
      <xdr:rowOff>55698</xdr:rowOff>
    </xdr:from>
    <xdr:to>
      <xdr:col>22</xdr:col>
      <xdr:colOff>76358</xdr:colOff>
      <xdr:row>13</xdr:row>
      <xdr:rowOff>104572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A5156BCB-69B3-413F-9068-94506A5E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43975" y="55698"/>
          <a:ext cx="2819558" cy="2592049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0</xdr:row>
      <xdr:rowOff>146748</xdr:rowOff>
    </xdr:from>
    <xdr:to>
      <xdr:col>25</xdr:col>
      <xdr:colOff>159173</xdr:colOff>
      <xdr:row>12</xdr:row>
      <xdr:rowOff>119510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23396FF-1104-43CE-B436-FF9DA5CA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96725" y="146748"/>
          <a:ext cx="2740448" cy="2325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82477</xdr:colOff>
      <xdr:row>0</xdr:row>
      <xdr:rowOff>152399</xdr:rowOff>
    </xdr:from>
    <xdr:to>
      <xdr:col>11</xdr:col>
      <xdr:colOff>25327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B7270-F0D7-4C98-BB45-AF469C4D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8927" y="152399"/>
          <a:ext cx="2943225" cy="657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581025</xdr:colOff>
      <xdr:row>0</xdr:row>
      <xdr:rowOff>47625</xdr:rowOff>
    </xdr:from>
    <xdr:to>
      <xdr:col>26</xdr:col>
      <xdr:colOff>97155</xdr:colOff>
      <xdr:row>28</xdr:row>
      <xdr:rowOff>3764</xdr:rowOff>
    </xdr:to>
    <xdr:pic>
      <xdr:nvPicPr>
        <xdr:cNvPr id="3" name="Imagen 2" descr="http://1.bp.blogspot.com/-8K7OYG9v5io/TuOi31jawFI/AAAAAAAACjk/wK8QcwAVKTo/s1600/8.gif">
          <a:extLst>
            <a:ext uri="{FF2B5EF4-FFF2-40B4-BE49-F238E27FC236}">
              <a16:creationId xmlns:a16="http://schemas.microsoft.com/office/drawing/2014/main" id="{F7A12437-87BB-4CE0-B96E-89E051F4C4E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47625"/>
          <a:ext cx="5612130" cy="5612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38100</xdr:colOff>
      <xdr:row>0</xdr:row>
      <xdr:rowOff>66675</xdr:rowOff>
    </xdr:from>
    <xdr:to>
      <xdr:col>18</xdr:col>
      <xdr:colOff>316230</xdr:colOff>
      <xdr:row>31</xdr:row>
      <xdr:rowOff>31254</xdr:rowOff>
    </xdr:to>
    <xdr:pic>
      <xdr:nvPicPr>
        <xdr:cNvPr id="4" name="Imagen 3" descr="http://1.bp.blogspot.com/-0kMqWQWf-40/TuOirr-OjPI/AAAAAAAACjc/mHSL-rxUXgQ/s1600/7.gif">
          <a:extLst>
            <a:ext uri="{FF2B5EF4-FFF2-40B4-BE49-F238E27FC236}">
              <a16:creationId xmlns:a16="http://schemas.microsoft.com/office/drawing/2014/main" id="{EA188703-AA5C-4F02-9A88-DB5D975A632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66675"/>
          <a:ext cx="5612130" cy="6189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597934</xdr:colOff>
      <xdr:row>16</xdr:row>
      <xdr:rowOff>20598</xdr:rowOff>
    </xdr:from>
    <xdr:to>
      <xdr:col>17</xdr:col>
      <xdr:colOff>597934</xdr:colOff>
      <xdr:row>16</xdr:row>
      <xdr:rowOff>30123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52CBA71-1B74-4FD2-B5A0-FEC045F87677}"/>
            </a:ext>
          </a:extLst>
        </xdr:cNvPr>
        <xdr:cNvCxnSpPr/>
      </xdr:nvCxnSpPr>
      <xdr:spPr>
        <a:xfrm flipH="1" flipV="1">
          <a:off x="9484759" y="2916198"/>
          <a:ext cx="4572000" cy="9525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357016</xdr:colOff>
      <xdr:row>13</xdr:row>
      <xdr:rowOff>93133</xdr:rowOff>
    </xdr:from>
    <xdr:to>
      <xdr:col>25</xdr:col>
      <xdr:colOff>442741</xdr:colOff>
      <xdr:row>13</xdr:row>
      <xdr:rowOff>93133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51BFEF2D-5E12-47E8-B9F4-7D2BEB40BE18}"/>
            </a:ext>
          </a:extLst>
        </xdr:cNvPr>
        <xdr:cNvCxnSpPr/>
      </xdr:nvCxnSpPr>
      <xdr:spPr>
        <a:xfrm flipH="1">
          <a:off x="15339841" y="2607733"/>
          <a:ext cx="4657725" cy="0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161925</xdr:colOff>
      <xdr:row>46</xdr:row>
      <xdr:rowOff>29305</xdr:rowOff>
    </xdr:from>
    <xdr:to>
      <xdr:col>14</xdr:col>
      <xdr:colOff>283595</xdr:colOff>
      <xdr:row>59</xdr:row>
      <xdr:rowOff>134148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880945-CAF2-415C-99EB-C3158BE2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9163780"/>
          <a:ext cx="5408045" cy="2628968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35</xdr:row>
      <xdr:rowOff>114300</xdr:rowOff>
    </xdr:from>
    <xdr:to>
      <xdr:col>16</xdr:col>
      <xdr:colOff>656819</xdr:colOff>
      <xdr:row>41</xdr:row>
      <xdr:rowOff>174698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41809A1-E28F-4C49-A5D4-15A29F48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20175" y="6362700"/>
          <a:ext cx="4333469" cy="1241498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352424</xdr:colOff>
      <xdr:row>60</xdr:row>
      <xdr:rowOff>74197</xdr:rowOff>
    </xdr:from>
    <xdr:to>
      <xdr:col>16</xdr:col>
      <xdr:colOff>550882</xdr:colOff>
      <xdr:row>73</xdr:row>
      <xdr:rowOff>38099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087E04-BADC-469C-8F18-955460A5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67824" y="11923297"/>
          <a:ext cx="4008458" cy="2468977"/>
        </a:xfrm>
        <a:prstGeom prst="rect">
          <a:avLst/>
        </a:prstGeom>
      </xdr:spPr>
    </xdr:pic>
    <xdr:clientData/>
  </xdr:twoCellAnchor>
  <xdr:twoCellAnchor editAs="oneCell">
    <xdr:from>
      <xdr:col>19</xdr:col>
      <xdr:colOff>295275</xdr:colOff>
      <xdr:row>32</xdr:row>
      <xdr:rowOff>123825</xdr:rowOff>
    </xdr:from>
    <xdr:to>
      <xdr:col>26</xdr:col>
      <xdr:colOff>573406</xdr:colOff>
      <xdr:row>54</xdr:row>
      <xdr:rowOff>126365</xdr:rowOff>
    </xdr:to>
    <xdr:pic>
      <xdr:nvPicPr>
        <xdr:cNvPr id="17" name="Imagen 16" descr="http://2.bp.blogspot.com/-UHf4OlmnW0s/TuOiVN1ZLCI/AAAAAAAACjU/NWee5Jcwpfs/s1600/6.gif">
          <a:extLst>
            <a:ext uri="{FF2B5EF4-FFF2-40B4-BE49-F238E27FC236}">
              <a16:creationId xmlns:a16="http://schemas.microsoft.com/office/drawing/2014/main" id="{160E3DC3-0489-45CD-BC94-A2CD6E36662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5791200"/>
          <a:ext cx="5612131" cy="4288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466725</xdr:colOff>
      <xdr:row>36</xdr:row>
      <xdr:rowOff>57150</xdr:rowOff>
    </xdr:from>
    <xdr:to>
      <xdr:col>25</xdr:col>
      <xdr:colOff>190501</xdr:colOff>
      <xdr:row>36</xdr:row>
      <xdr:rowOff>76201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65EADEEB-E358-4E68-A964-0A41670D1D4D}"/>
            </a:ext>
          </a:extLst>
        </xdr:cNvPr>
        <xdr:cNvCxnSpPr/>
      </xdr:nvCxnSpPr>
      <xdr:spPr>
        <a:xfrm flipH="1" flipV="1">
          <a:off x="16211550" y="6505575"/>
          <a:ext cx="3533776" cy="19051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200025</xdr:colOff>
      <xdr:row>36</xdr:row>
      <xdr:rowOff>123825</xdr:rowOff>
    </xdr:from>
    <xdr:to>
      <xdr:col>25</xdr:col>
      <xdr:colOff>200025</xdr:colOff>
      <xdr:row>51</xdr:row>
      <xdr:rowOff>19050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4AAA3824-2B4C-46AC-BBD0-6C2E8A55ECDB}"/>
            </a:ext>
          </a:extLst>
        </xdr:cNvPr>
        <xdr:cNvCxnSpPr/>
      </xdr:nvCxnSpPr>
      <xdr:spPr>
        <a:xfrm>
          <a:off x="19754850" y="6572250"/>
          <a:ext cx="0" cy="2809875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82477</xdr:colOff>
      <xdr:row>0</xdr:row>
      <xdr:rowOff>152399</xdr:rowOff>
    </xdr:from>
    <xdr:to>
      <xdr:col>11</xdr:col>
      <xdr:colOff>463477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D9A9C-AA4F-4F75-98DC-382A6EFE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7502" y="152399"/>
          <a:ext cx="2943225" cy="657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581025</xdr:colOff>
      <xdr:row>0</xdr:row>
      <xdr:rowOff>47625</xdr:rowOff>
    </xdr:from>
    <xdr:to>
      <xdr:col>26</xdr:col>
      <xdr:colOff>97155</xdr:colOff>
      <xdr:row>29</xdr:row>
      <xdr:rowOff>3764</xdr:rowOff>
    </xdr:to>
    <xdr:pic>
      <xdr:nvPicPr>
        <xdr:cNvPr id="3" name="Imagen 2" descr="http://1.bp.blogspot.com/-8K7OYG9v5io/TuOi31jawFI/AAAAAAAACjk/wK8QcwAVKTo/s1600/8.gif">
          <a:extLst>
            <a:ext uri="{FF2B5EF4-FFF2-40B4-BE49-F238E27FC236}">
              <a16:creationId xmlns:a16="http://schemas.microsoft.com/office/drawing/2014/main" id="{D2F04D46-FC75-482A-AD56-AB2A82D7C52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47625"/>
          <a:ext cx="5612130" cy="55949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38100</xdr:colOff>
      <xdr:row>0</xdr:row>
      <xdr:rowOff>66675</xdr:rowOff>
    </xdr:from>
    <xdr:to>
      <xdr:col>19</xdr:col>
      <xdr:colOff>259080</xdr:colOff>
      <xdr:row>32</xdr:row>
      <xdr:rowOff>31254</xdr:rowOff>
    </xdr:to>
    <xdr:pic>
      <xdr:nvPicPr>
        <xdr:cNvPr id="4" name="Imagen 3" descr="http://1.bp.blogspot.com/-0kMqWQWf-40/TuOirr-OjPI/AAAAAAAACjc/mHSL-rxUXgQ/s1600/7.gif">
          <a:extLst>
            <a:ext uri="{FF2B5EF4-FFF2-40B4-BE49-F238E27FC236}">
              <a16:creationId xmlns:a16="http://schemas.microsoft.com/office/drawing/2014/main" id="{E82A3A89-7E0C-4646-9D05-0EF1B0FB9D3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66675"/>
          <a:ext cx="5612130" cy="61748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597934</xdr:colOff>
      <xdr:row>16</xdr:row>
      <xdr:rowOff>20598</xdr:rowOff>
    </xdr:from>
    <xdr:to>
      <xdr:col>17</xdr:col>
      <xdr:colOff>597934</xdr:colOff>
      <xdr:row>16</xdr:row>
      <xdr:rowOff>30123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9A11F0B5-8540-4DAE-A6AA-F0E7F5350FB6}"/>
            </a:ext>
          </a:extLst>
        </xdr:cNvPr>
        <xdr:cNvCxnSpPr/>
      </xdr:nvCxnSpPr>
      <xdr:spPr>
        <a:xfrm flipH="1" flipV="1">
          <a:off x="9513334" y="3249573"/>
          <a:ext cx="4572000" cy="9525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357016</xdr:colOff>
      <xdr:row>13</xdr:row>
      <xdr:rowOff>93133</xdr:rowOff>
    </xdr:from>
    <xdr:to>
      <xdr:col>25</xdr:col>
      <xdr:colOff>442741</xdr:colOff>
      <xdr:row>13</xdr:row>
      <xdr:rowOff>93133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A3EB61D0-87CD-43E5-A532-188E2739F70C}"/>
            </a:ext>
          </a:extLst>
        </xdr:cNvPr>
        <xdr:cNvCxnSpPr/>
      </xdr:nvCxnSpPr>
      <xdr:spPr>
        <a:xfrm flipH="1">
          <a:off x="15368416" y="2655358"/>
          <a:ext cx="4657725" cy="0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161925</xdr:colOff>
      <xdr:row>46</xdr:row>
      <xdr:rowOff>29305</xdr:rowOff>
    </xdr:from>
    <xdr:to>
      <xdr:col>15</xdr:col>
      <xdr:colOff>521720</xdr:colOff>
      <xdr:row>59</xdr:row>
      <xdr:rowOff>134148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DA1F04-B7D3-44F1-BAC7-B94A545D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9163780"/>
          <a:ext cx="5408045" cy="2628968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35</xdr:row>
      <xdr:rowOff>114300</xdr:rowOff>
    </xdr:from>
    <xdr:to>
      <xdr:col>17</xdr:col>
      <xdr:colOff>599669</xdr:colOff>
      <xdr:row>41</xdr:row>
      <xdr:rowOff>174698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ED4487-B209-42DC-8E04-85E3A6B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50" y="7096125"/>
          <a:ext cx="4333469" cy="1241498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352424</xdr:colOff>
      <xdr:row>60</xdr:row>
      <xdr:rowOff>74197</xdr:rowOff>
    </xdr:from>
    <xdr:to>
      <xdr:col>17</xdr:col>
      <xdr:colOff>493732</xdr:colOff>
      <xdr:row>73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C0A8AA3-EDC2-4684-A23C-492E82BDC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67824" y="11923297"/>
          <a:ext cx="4008458" cy="2468977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90</xdr:row>
      <xdr:rowOff>180975</xdr:rowOff>
    </xdr:from>
    <xdr:to>
      <xdr:col>18</xdr:col>
      <xdr:colOff>60730</xdr:colOff>
      <xdr:row>97</xdr:row>
      <xdr:rowOff>152400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123B07C1-6973-4B9A-81F3-6F26B801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10450" y="17840325"/>
          <a:ext cx="5556655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</xdr:colOff>
      <xdr:row>98</xdr:row>
      <xdr:rowOff>47625</xdr:rowOff>
    </xdr:from>
    <xdr:to>
      <xdr:col>24</xdr:col>
      <xdr:colOff>56492</xdr:colOff>
      <xdr:row>115</xdr:row>
      <xdr:rowOff>9525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8917477-C8A4-46C9-B14A-A4CF332F5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658850" y="19269075"/>
          <a:ext cx="4609442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98</xdr:row>
      <xdr:rowOff>28575</xdr:rowOff>
    </xdr:from>
    <xdr:to>
      <xdr:col>18</xdr:col>
      <xdr:colOff>438150</xdr:colOff>
      <xdr:row>115</xdr:row>
      <xdr:rowOff>137527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1249CB6-792B-448F-89A1-C73E8F44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91550" y="19250025"/>
          <a:ext cx="4914900" cy="3395077"/>
        </a:xfrm>
        <a:prstGeom prst="rect">
          <a:avLst/>
        </a:prstGeom>
      </xdr:spPr>
    </xdr:pic>
    <xdr:clientData/>
  </xdr:twoCellAnchor>
  <xdr:twoCellAnchor editAs="oneCell">
    <xdr:from>
      <xdr:col>17</xdr:col>
      <xdr:colOff>752475</xdr:colOff>
      <xdr:row>127</xdr:row>
      <xdr:rowOff>149319</xdr:rowOff>
    </xdr:from>
    <xdr:to>
      <xdr:col>25</xdr:col>
      <xdr:colOff>573761</xdr:colOff>
      <xdr:row>136</xdr:row>
      <xdr:rowOff>31098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CF6CB8E-711E-4AAF-9152-6F789B3D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30275" y="25190544"/>
          <a:ext cx="5917286" cy="1605804"/>
        </a:xfrm>
        <a:prstGeom prst="rect">
          <a:avLst/>
        </a:prstGeom>
      </xdr:spPr>
    </xdr:pic>
    <xdr:clientData/>
  </xdr:twoCellAnchor>
  <xdr:twoCellAnchor editAs="oneCell">
    <xdr:from>
      <xdr:col>19</xdr:col>
      <xdr:colOff>295275</xdr:colOff>
      <xdr:row>32</xdr:row>
      <xdr:rowOff>123825</xdr:rowOff>
    </xdr:from>
    <xdr:to>
      <xdr:col>26</xdr:col>
      <xdr:colOff>573406</xdr:colOff>
      <xdr:row>54</xdr:row>
      <xdr:rowOff>126365</xdr:rowOff>
    </xdr:to>
    <xdr:pic>
      <xdr:nvPicPr>
        <xdr:cNvPr id="14" name="Imagen 13" descr="http://2.bp.blogspot.com/-UHf4OlmnW0s/TuOiVN1ZLCI/AAAAAAAACjU/NWee5Jcwpfs/s1600/6.gif">
          <a:extLst>
            <a:ext uri="{FF2B5EF4-FFF2-40B4-BE49-F238E27FC236}">
              <a16:creationId xmlns:a16="http://schemas.microsoft.com/office/drawing/2014/main" id="{E6ADE0BD-AAFA-4A8C-9829-D576B5CBE60A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6675" y="6524625"/>
          <a:ext cx="5612131" cy="4288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466725</xdr:colOff>
      <xdr:row>36</xdr:row>
      <xdr:rowOff>57150</xdr:rowOff>
    </xdr:from>
    <xdr:to>
      <xdr:col>25</xdr:col>
      <xdr:colOff>190501</xdr:colOff>
      <xdr:row>36</xdr:row>
      <xdr:rowOff>76201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E1FF4456-44EB-4680-AE32-E422206D1F5C}"/>
            </a:ext>
          </a:extLst>
        </xdr:cNvPr>
        <xdr:cNvCxnSpPr/>
      </xdr:nvCxnSpPr>
      <xdr:spPr>
        <a:xfrm flipH="1" flipV="1">
          <a:off x="16240125" y="7239000"/>
          <a:ext cx="3533776" cy="19051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200025</xdr:colOff>
      <xdr:row>36</xdr:row>
      <xdr:rowOff>123825</xdr:rowOff>
    </xdr:from>
    <xdr:to>
      <xdr:col>25</xdr:col>
      <xdr:colOff>200025</xdr:colOff>
      <xdr:row>51</xdr:row>
      <xdr:rowOff>19050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5E0CB77-FBD7-4E6A-9A98-B13ADB7C941B}"/>
            </a:ext>
          </a:extLst>
        </xdr:cNvPr>
        <xdr:cNvCxnSpPr/>
      </xdr:nvCxnSpPr>
      <xdr:spPr>
        <a:xfrm>
          <a:off x="19783425" y="7305675"/>
          <a:ext cx="0" cy="2819400"/>
        </a:xfrm>
        <a:prstGeom prst="straightConnector1">
          <a:avLst/>
        </a:prstGeom>
        <a:ln w="254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28575</xdr:colOff>
      <xdr:row>116</xdr:row>
      <xdr:rowOff>44691</xdr:rowOff>
    </xdr:from>
    <xdr:to>
      <xdr:col>23</xdr:col>
      <xdr:colOff>542206</xdr:colOff>
      <xdr:row>126</xdr:row>
      <xdr:rowOff>190099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B3E4E23-7F1F-4DA1-9A08-380D7230C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668375" y="22742766"/>
          <a:ext cx="4323631" cy="2412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selection activeCell="R11" sqref="R11"/>
    </sheetView>
  </sheetViews>
  <sheetFormatPr baseColWidth="10" defaultRowHeight="15"/>
  <cols>
    <col min="1" max="2" width="9.7109375" customWidth="1"/>
    <col min="3" max="3" width="8.7109375" customWidth="1"/>
    <col min="4" max="6" width="7.140625" customWidth="1"/>
    <col min="7" max="9" width="7.7109375" customWidth="1"/>
    <col min="10" max="10" width="8.5703125" customWidth="1"/>
    <col min="11" max="13" width="7.140625" customWidth="1"/>
    <col min="14" max="16" width="7.7109375" customWidth="1"/>
  </cols>
  <sheetData>
    <row r="1" spans="1:16">
      <c r="A1" s="536" t="s">
        <v>10</v>
      </c>
      <c r="B1" s="537"/>
      <c r="C1" s="537"/>
      <c r="D1" s="537"/>
      <c r="E1" s="547" t="s">
        <v>11</v>
      </c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8"/>
    </row>
    <row r="2" spans="1:16">
      <c r="A2" s="538"/>
      <c r="B2" s="539"/>
      <c r="C2" s="539"/>
      <c r="D2" s="539"/>
      <c r="E2" s="549" t="s">
        <v>15</v>
      </c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50"/>
    </row>
    <row r="3" spans="1:16">
      <c r="A3" s="538"/>
      <c r="B3" s="539"/>
      <c r="C3" s="539"/>
      <c r="D3" s="539"/>
      <c r="E3" s="11" t="s">
        <v>12</v>
      </c>
      <c r="F3" s="549" t="s">
        <v>13</v>
      </c>
      <c r="G3" s="549"/>
      <c r="H3" s="549"/>
      <c r="I3" s="549"/>
      <c r="J3" s="549"/>
      <c r="K3" s="549"/>
      <c r="L3" s="549"/>
      <c r="M3" s="549"/>
      <c r="N3" s="549"/>
      <c r="O3" s="549"/>
      <c r="P3" s="550"/>
    </row>
    <row r="4" spans="1:16">
      <c r="A4" s="15" t="s">
        <v>0</v>
      </c>
      <c r="B4" s="544"/>
      <c r="C4" s="545"/>
      <c r="D4" s="546"/>
      <c r="E4" s="549" t="s">
        <v>14</v>
      </c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50"/>
    </row>
    <row r="5" spans="1:16">
      <c r="A5" s="533" t="s">
        <v>16</v>
      </c>
      <c r="B5" s="534"/>
      <c r="C5" s="535" t="s">
        <v>17</v>
      </c>
      <c r="D5" s="535"/>
      <c r="E5" s="535"/>
      <c r="F5" s="535"/>
      <c r="G5" s="535"/>
      <c r="H5" s="535"/>
      <c r="I5" s="535"/>
      <c r="J5" s="551" t="s">
        <v>18</v>
      </c>
      <c r="K5" s="551"/>
      <c r="L5" s="551"/>
      <c r="M5" s="551"/>
      <c r="N5" s="551"/>
      <c r="O5" s="551"/>
      <c r="P5" s="552"/>
    </row>
    <row r="6" spans="1:16" ht="15" customHeight="1">
      <c r="A6" s="540" t="s">
        <v>1</v>
      </c>
      <c r="B6" s="541"/>
      <c r="C6" s="541" t="s">
        <v>2</v>
      </c>
      <c r="D6" s="541"/>
      <c r="E6" s="541"/>
      <c r="F6" s="541"/>
      <c r="G6" s="553" t="s">
        <v>3</v>
      </c>
      <c r="H6" s="553"/>
      <c r="I6" s="553"/>
      <c r="J6" s="541" t="s">
        <v>2</v>
      </c>
      <c r="K6" s="541"/>
      <c r="L6" s="541"/>
      <c r="M6" s="541"/>
      <c r="N6" s="553" t="s">
        <v>3</v>
      </c>
      <c r="O6" s="553"/>
      <c r="P6" s="554"/>
    </row>
    <row r="7" spans="1:16" ht="58.5" thickBot="1">
      <c r="A7" s="542"/>
      <c r="B7" s="543"/>
      <c r="C7" s="2" t="s">
        <v>6</v>
      </c>
      <c r="D7" s="543" t="s">
        <v>7</v>
      </c>
      <c r="E7" s="543"/>
      <c r="F7" s="543"/>
      <c r="G7" s="3" t="s">
        <v>8</v>
      </c>
      <c r="H7" s="3" t="s">
        <v>9</v>
      </c>
      <c r="I7" s="16"/>
      <c r="J7" s="2" t="s">
        <v>6</v>
      </c>
      <c r="K7" s="543" t="s">
        <v>7</v>
      </c>
      <c r="L7" s="543"/>
      <c r="M7" s="543"/>
      <c r="N7" s="3" t="s">
        <v>8</v>
      </c>
      <c r="O7" s="3" t="s">
        <v>9</v>
      </c>
      <c r="P7" s="17"/>
    </row>
    <row r="8" spans="1:16">
      <c r="A8" s="4"/>
      <c r="B8" s="14"/>
      <c r="C8" s="6"/>
      <c r="D8" s="556"/>
      <c r="E8" s="556"/>
      <c r="F8" s="556"/>
      <c r="G8" s="6"/>
      <c r="H8" s="6"/>
      <c r="I8" s="6"/>
      <c r="J8" s="6"/>
      <c r="K8" s="556"/>
      <c r="L8" s="556"/>
      <c r="M8" s="556"/>
      <c r="N8" s="6"/>
      <c r="O8" s="6"/>
      <c r="P8" s="18"/>
    </row>
    <row r="9" spans="1:16">
      <c r="A9" s="8"/>
      <c r="B9" s="13"/>
      <c r="C9" s="7"/>
      <c r="D9" s="555"/>
      <c r="E9" s="555"/>
      <c r="F9" s="555"/>
      <c r="G9" s="7"/>
      <c r="H9" s="7"/>
      <c r="I9" s="7"/>
      <c r="J9" s="7"/>
      <c r="K9" s="555"/>
      <c r="L9" s="555"/>
      <c r="M9" s="555"/>
      <c r="N9" s="7"/>
      <c r="O9" s="7"/>
      <c r="P9" s="19"/>
    </row>
    <row r="10" spans="1:16">
      <c r="A10" s="8"/>
      <c r="B10" s="13"/>
      <c r="C10" s="7"/>
      <c r="D10" s="555"/>
      <c r="E10" s="555"/>
      <c r="F10" s="555"/>
      <c r="G10" s="7"/>
      <c r="H10" s="7"/>
      <c r="I10" s="7"/>
      <c r="J10" s="7"/>
      <c r="K10" s="555"/>
      <c r="L10" s="555"/>
      <c r="M10" s="555"/>
      <c r="N10" s="7"/>
      <c r="O10" s="7"/>
      <c r="P10" s="19"/>
    </row>
    <row r="11" spans="1:16">
      <c r="A11" s="8"/>
      <c r="B11" s="13"/>
      <c r="C11" s="7"/>
      <c r="D11" s="555"/>
      <c r="E11" s="555"/>
      <c r="F11" s="555"/>
      <c r="G11" s="7"/>
      <c r="H11" s="7"/>
      <c r="I11" s="7"/>
      <c r="J11" s="7"/>
      <c r="K11" s="555"/>
      <c r="L11" s="555"/>
      <c r="M11" s="555"/>
      <c r="N11" s="9"/>
      <c r="O11" s="9"/>
      <c r="P11" s="19"/>
    </row>
    <row r="12" spans="1:16">
      <c r="A12" s="8"/>
      <c r="B12" s="13"/>
      <c r="C12" s="7"/>
      <c r="D12" s="555"/>
      <c r="E12" s="555"/>
      <c r="F12" s="555"/>
      <c r="G12" s="7"/>
      <c r="H12" s="7"/>
      <c r="I12" s="7"/>
      <c r="J12" s="7"/>
      <c r="K12" s="555"/>
      <c r="L12" s="555"/>
      <c r="M12" s="555"/>
      <c r="N12" s="9"/>
      <c r="O12" s="9"/>
      <c r="P12" s="19"/>
    </row>
    <row r="13" spans="1:16">
      <c r="A13" s="8"/>
      <c r="B13" s="13"/>
      <c r="C13" s="7"/>
      <c r="D13" s="555"/>
      <c r="E13" s="555"/>
      <c r="F13" s="555"/>
      <c r="G13" s="7"/>
      <c r="H13" s="7"/>
      <c r="I13" s="7"/>
      <c r="J13" s="7"/>
      <c r="K13" s="555"/>
      <c r="L13" s="555"/>
      <c r="M13" s="555"/>
      <c r="N13" s="9"/>
      <c r="O13" s="7"/>
      <c r="P13" s="19"/>
    </row>
    <row r="14" spans="1:16">
      <c r="A14" s="8"/>
      <c r="B14" s="13"/>
      <c r="C14" s="7"/>
      <c r="D14" s="555"/>
      <c r="E14" s="555"/>
      <c r="F14" s="555"/>
      <c r="G14" s="7"/>
      <c r="H14" s="7"/>
      <c r="I14" s="7"/>
      <c r="J14" s="7"/>
      <c r="K14" s="555"/>
      <c r="L14" s="555"/>
      <c r="M14" s="555"/>
      <c r="N14" s="9"/>
      <c r="O14" s="7"/>
      <c r="P14" s="19"/>
    </row>
    <row r="15" spans="1:16">
      <c r="A15" s="8"/>
      <c r="B15" s="13"/>
      <c r="C15" s="7"/>
      <c r="D15" s="555"/>
      <c r="E15" s="555"/>
      <c r="F15" s="555"/>
      <c r="G15" s="7"/>
      <c r="H15" s="7"/>
      <c r="I15" s="7"/>
      <c r="J15" s="7"/>
      <c r="K15" s="555"/>
      <c r="L15" s="555"/>
      <c r="M15" s="555"/>
      <c r="N15" s="9"/>
      <c r="O15" s="7"/>
      <c r="P15" s="19"/>
    </row>
    <row r="16" spans="1:16">
      <c r="A16" s="8"/>
      <c r="B16" s="13"/>
      <c r="C16" s="7"/>
      <c r="D16" s="555"/>
      <c r="E16" s="555"/>
      <c r="F16" s="555"/>
      <c r="G16" s="7"/>
      <c r="H16" s="7"/>
      <c r="I16" s="7"/>
      <c r="J16" s="7"/>
      <c r="K16" s="555"/>
      <c r="L16" s="555"/>
      <c r="M16" s="555"/>
      <c r="N16" s="9"/>
      <c r="O16" s="7"/>
      <c r="P16" s="19"/>
    </row>
    <row r="17" spans="1:16">
      <c r="A17" s="8"/>
      <c r="B17" s="13"/>
      <c r="C17" s="7"/>
      <c r="D17" s="555"/>
      <c r="E17" s="555"/>
      <c r="F17" s="555"/>
      <c r="G17" s="7"/>
      <c r="H17" s="7"/>
      <c r="I17" s="7"/>
      <c r="J17" s="7"/>
      <c r="K17" s="555"/>
      <c r="L17" s="555"/>
      <c r="M17" s="555"/>
      <c r="N17" s="9"/>
      <c r="O17" s="7"/>
      <c r="P17" s="19"/>
    </row>
    <row r="18" spans="1:16">
      <c r="A18" s="8"/>
      <c r="B18" s="13"/>
      <c r="C18" s="7"/>
      <c r="D18" s="555"/>
      <c r="E18" s="555"/>
      <c r="F18" s="555"/>
      <c r="G18" s="7"/>
      <c r="H18" s="7"/>
      <c r="I18" s="7"/>
      <c r="J18" s="7"/>
      <c r="K18" s="555"/>
      <c r="L18" s="555"/>
      <c r="M18" s="555"/>
      <c r="N18" s="9"/>
      <c r="O18" s="7"/>
      <c r="P18" s="19"/>
    </row>
    <row r="19" spans="1:16">
      <c r="A19" s="8"/>
      <c r="B19" s="13"/>
      <c r="C19" s="7"/>
      <c r="D19" s="555"/>
      <c r="E19" s="555"/>
      <c r="F19" s="555"/>
      <c r="G19" s="7"/>
      <c r="H19" s="7"/>
      <c r="I19" s="7"/>
      <c r="J19" s="7"/>
      <c r="K19" s="555"/>
      <c r="L19" s="555"/>
      <c r="M19" s="555"/>
      <c r="N19" s="9"/>
      <c r="O19" s="7"/>
      <c r="P19" s="19"/>
    </row>
    <row r="20" spans="1:16">
      <c r="A20" s="8"/>
      <c r="B20" s="13"/>
      <c r="C20" s="7"/>
      <c r="D20" s="555"/>
      <c r="E20" s="555"/>
      <c r="F20" s="555"/>
      <c r="G20" s="7"/>
      <c r="H20" s="7"/>
      <c r="I20" s="7"/>
      <c r="J20" s="7"/>
      <c r="K20" s="555"/>
      <c r="L20" s="555"/>
      <c r="M20" s="555"/>
      <c r="N20" s="9"/>
      <c r="O20" s="7"/>
      <c r="P20" s="19"/>
    </row>
    <row r="21" spans="1:16">
      <c r="A21" s="8"/>
      <c r="B21" s="13"/>
      <c r="C21" s="7"/>
      <c r="D21" s="555"/>
      <c r="E21" s="555"/>
      <c r="F21" s="555"/>
      <c r="G21" s="7"/>
      <c r="H21" s="7"/>
      <c r="I21" s="7"/>
      <c r="J21" s="7"/>
      <c r="K21" s="555"/>
      <c r="L21" s="555"/>
      <c r="M21" s="555"/>
      <c r="N21" s="9"/>
      <c r="O21" s="7"/>
      <c r="P21" s="19"/>
    </row>
    <row r="22" spans="1:16">
      <c r="A22" s="8"/>
      <c r="B22" s="13"/>
      <c r="C22" s="7"/>
      <c r="D22" s="555"/>
      <c r="E22" s="555"/>
      <c r="F22" s="555"/>
      <c r="G22" s="7"/>
      <c r="H22" s="7"/>
      <c r="I22" s="7"/>
      <c r="J22" s="7"/>
      <c r="K22" s="555"/>
      <c r="L22" s="555"/>
      <c r="M22" s="555"/>
      <c r="N22" s="9"/>
      <c r="O22" s="7"/>
      <c r="P22" s="19"/>
    </row>
    <row r="23" spans="1:16">
      <c r="A23" s="8"/>
      <c r="B23" s="13"/>
      <c r="C23" s="7"/>
      <c r="D23" s="555"/>
      <c r="E23" s="555"/>
      <c r="F23" s="555"/>
      <c r="G23" s="7"/>
      <c r="H23" s="7"/>
      <c r="I23" s="7"/>
      <c r="J23" s="7"/>
      <c r="K23" s="555"/>
      <c r="L23" s="555"/>
      <c r="M23" s="555"/>
      <c r="N23" s="9"/>
      <c r="O23" s="7"/>
      <c r="P23" s="19"/>
    </row>
    <row r="24" spans="1:16">
      <c r="A24" s="8"/>
      <c r="B24" s="13"/>
      <c r="C24" s="7"/>
      <c r="D24" s="555"/>
      <c r="E24" s="555"/>
      <c r="F24" s="555"/>
      <c r="G24" s="7"/>
      <c r="H24" s="7"/>
      <c r="I24" s="7"/>
      <c r="J24" s="7"/>
      <c r="K24" s="555"/>
      <c r="L24" s="555"/>
      <c r="M24" s="555"/>
      <c r="N24" s="9"/>
      <c r="O24" s="7"/>
      <c r="P24" s="19"/>
    </row>
    <row r="25" spans="1:16">
      <c r="A25" s="8"/>
      <c r="B25" s="13"/>
      <c r="C25" s="7"/>
      <c r="D25" s="555"/>
      <c r="E25" s="555"/>
      <c r="F25" s="555"/>
      <c r="G25" s="7"/>
      <c r="H25" s="7"/>
      <c r="I25" s="7"/>
      <c r="J25" s="7"/>
      <c r="K25" s="555"/>
      <c r="L25" s="555"/>
      <c r="M25" s="555"/>
      <c r="N25" s="9"/>
      <c r="O25" s="7"/>
      <c r="P25" s="19"/>
    </row>
    <row r="26" spans="1:16">
      <c r="A26" s="8"/>
      <c r="B26" s="13"/>
      <c r="C26" s="7"/>
      <c r="D26" s="555"/>
      <c r="E26" s="555"/>
      <c r="F26" s="555"/>
      <c r="G26" s="7"/>
      <c r="H26" s="7"/>
      <c r="I26" s="7"/>
      <c r="J26" s="7"/>
      <c r="K26" s="555"/>
      <c r="L26" s="555"/>
      <c r="M26" s="555"/>
      <c r="N26" s="9"/>
      <c r="O26" s="7"/>
      <c r="P26" s="19"/>
    </row>
    <row r="27" spans="1:16">
      <c r="A27" s="8"/>
      <c r="B27" s="13"/>
      <c r="C27" s="7"/>
      <c r="D27" s="555"/>
      <c r="E27" s="555"/>
      <c r="F27" s="555"/>
      <c r="G27" s="7"/>
      <c r="H27" s="7"/>
      <c r="I27" s="7"/>
      <c r="J27" s="7"/>
      <c r="K27" s="555"/>
      <c r="L27" s="555"/>
      <c r="M27" s="555"/>
      <c r="N27" s="9"/>
      <c r="O27" s="7"/>
      <c r="P27" s="19"/>
    </row>
    <row r="28" spans="1:16">
      <c r="A28" s="8"/>
      <c r="B28" s="13"/>
      <c r="C28" s="7"/>
      <c r="D28" s="555"/>
      <c r="E28" s="555"/>
      <c r="F28" s="555"/>
      <c r="G28" s="7"/>
      <c r="H28" s="7"/>
      <c r="I28" s="7"/>
      <c r="J28" s="7"/>
      <c r="K28" s="555"/>
      <c r="L28" s="555"/>
      <c r="M28" s="555"/>
      <c r="N28" s="9"/>
      <c r="O28" s="7"/>
      <c r="P28" s="19"/>
    </row>
    <row r="29" spans="1:16">
      <c r="A29" s="8"/>
      <c r="B29" s="13"/>
      <c r="C29" s="7"/>
      <c r="D29" s="555"/>
      <c r="E29" s="555"/>
      <c r="F29" s="555"/>
      <c r="G29" s="7"/>
      <c r="H29" s="7"/>
      <c r="I29" s="7"/>
      <c r="J29" s="7"/>
      <c r="K29" s="555"/>
      <c r="L29" s="555"/>
      <c r="M29" s="555"/>
      <c r="N29" s="9"/>
      <c r="O29" s="7"/>
      <c r="P29" s="19"/>
    </row>
    <row r="30" spans="1:16">
      <c r="A30" s="8"/>
      <c r="B30" s="13"/>
      <c r="C30" s="7"/>
      <c r="D30" s="555"/>
      <c r="E30" s="555"/>
      <c r="F30" s="555"/>
      <c r="G30" s="7"/>
      <c r="H30" s="7"/>
      <c r="I30" s="7"/>
      <c r="J30" s="7"/>
      <c r="K30" s="555"/>
      <c r="L30" s="555"/>
      <c r="M30" s="555"/>
      <c r="N30" s="9"/>
      <c r="O30" s="7"/>
      <c r="P30" s="19"/>
    </row>
    <row r="31" spans="1:16">
      <c r="A31" s="8"/>
      <c r="B31" s="13"/>
      <c r="C31" s="7"/>
      <c r="D31" s="555"/>
      <c r="E31" s="555"/>
      <c r="F31" s="555"/>
      <c r="G31" s="7"/>
      <c r="H31" s="7"/>
      <c r="I31" s="7"/>
      <c r="J31" s="7"/>
      <c r="K31" s="555"/>
      <c r="L31" s="555"/>
      <c r="M31" s="555"/>
      <c r="N31" s="9"/>
      <c r="O31" s="7"/>
      <c r="P31" s="19"/>
    </row>
    <row r="32" spans="1:16">
      <c r="A32" s="8"/>
      <c r="B32" s="13"/>
      <c r="C32" s="7"/>
      <c r="D32" s="555"/>
      <c r="E32" s="555"/>
      <c r="F32" s="555"/>
      <c r="G32" s="7"/>
      <c r="H32" s="7"/>
      <c r="I32" s="7"/>
      <c r="J32" s="7"/>
      <c r="K32" s="555"/>
      <c r="L32" s="555"/>
      <c r="M32" s="555"/>
      <c r="N32" s="9"/>
      <c r="O32" s="7"/>
      <c r="P32" s="19"/>
    </row>
    <row r="33" spans="1:16">
      <c r="A33" s="8"/>
      <c r="B33" s="13"/>
      <c r="C33" s="7"/>
      <c r="D33" s="555"/>
      <c r="E33" s="555"/>
      <c r="F33" s="555"/>
      <c r="G33" s="7"/>
      <c r="H33" s="7"/>
      <c r="I33" s="7"/>
      <c r="J33" s="7"/>
      <c r="K33" s="555"/>
      <c r="L33" s="555"/>
      <c r="M33" s="555"/>
      <c r="N33" s="9"/>
      <c r="O33" s="7"/>
      <c r="P33" s="19"/>
    </row>
    <row r="34" spans="1:16">
      <c r="A34" s="8"/>
      <c r="B34" s="13"/>
      <c r="C34" s="7"/>
      <c r="D34" s="555"/>
      <c r="E34" s="555"/>
      <c r="F34" s="555"/>
      <c r="G34" s="7"/>
      <c r="H34" s="7"/>
      <c r="I34" s="7"/>
      <c r="J34" s="7"/>
      <c r="K34" s="555"/>
      <c r="L34" s="555"/>
      <c r="M34" s="555"/>
      <c r="N34" s="9"/>
      <c r="O34" s="7"/>
      <c r="P34" s="19"/>
    </row>
    <row r="35" spans="1:16">
      <c r="A35" s="8"/>
      <c r="B35" s="13"/>
      <c r="C35" s="7"/>
      <c r="D35" s="555"/>
      <c r="E35" s="555"/>
      <c r="F35" s="555"/>
      <c r="G35" s="7"/>
      <c r="H35" s="7"/>
      <c r="I35" s="7"/>
      <c r="J35" s="7"/>
      <c r="K35" s="555"/>
      <c r="L35" s="555"/>
      <c r="M35" s="555"/>
      <c r="N35" s="9"/>
      <c r="O35" s="7"/>
      <c r="P35" s="19"/>
    </row>
    <row r="36" spans="1:16" ht="15.75" thickBot="1">
      <c r="A36" s="20"/>
      <c r="B36" s="21"/>
      <c r="C36" s="22"/>
      <c r="D36" s="557"/>
      <c r="E36" s="557"/>
      <c r="F36" s="557"/>
      <c r="G36" s="22"/>
      <c r="H36" s="22"/>
      <c r="I36" s="22"/>
      <c r="J36" s="22"/>
      <c r="K36" s="557"/>
      <c r="L36" s="557"/>
      <c r="M36" s="557"/>
      <c r="N36" s="23"/>
      <c r="O36" s="22"/>
      <c r="P36" s="24"/>
    </row>
  </sheetData>
  <mergeCells count="74">
    <mergeCell ref="K36:M36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24:M24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8:F8"/>
    <mergeCell ref="K8:M8"/>
    <mergeCell ref="D9:F9"/>
    <mergeCell ref="D10:F10"/>
    <mergeCell ref="D11:F11"/>
    <mergeCell ref="D12:F12"/>
    <mergeCell ref="K9:M9"/>
    <mergeCell ref="K10:M10"/>
    <mergeCell ref="K11:M11"/>
    <mergeCell ref="K12:M12"/>
    <mergeCell ref="A5:B5"/>
    <mergeCell ref="C5:I5"/>
    <mergeCell ref="A1:D3"/>
    <mergeCell ref="A6:B7"/>
    <mergeCell ref="B4:D4"/>
    <mergeCell ref="E1:P1"/>
    <mergeCell ref="E2:P2"/>
    <mergeCell ref="F3:P3"/>
    <mergeCell ref="E4:P4"/>
    <mergeCell ref="J5:P5"/>
    <mergeCell ref="D7:F7"/>
    <mergeCell ref="G6:I6"/>
    <mergeCell ref="J6:M6"/>
    <mergeCell ref="N6:P6"/>
    <mergeCell ref="K7:M7"/>
    <mergeCell ref="C6:F6"/>
  </mergeCells>
  <pageMargins left="0.51181102362204722" right="0.51181102362204722" top="0.15748031496062992" bottom="0.35433070866141736" header="0.31496062992125984" footer="0.31496062992125984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1"/>
  <sheetViews>
    <sheetView topLeftCell="A203" zoomScale="84" zoomScaleNormal="84" workbookViewId="0">
      <selection activeCell="D222" sqref="D222"/>
    </sheetView>
  </sheetViews>
  <sheetFormatPr baseColWidth="10" defaultRowHeight="15"/>
  <cols>
    <col min="1" max="1" width="8.85546875" customWidth="1"/>
    <col min="2" max="2" width="11" customWidth="1"/>
    <col min="3" max="3" width="6.7109375" customWidth="1"/>
    <col min="4" max="4" width="7.7109375" customWidth="1"/>
    <col min="5" max="5" width="6" customWidth="1"/>
    <col min="6" max="7" width="6" style="228" customWidth="1"/>
    <col min="8" max="8" width="6" customWidth="1"/>
    <col min="9" max="9" width="7.5703125" customWidth="1"/>
    <col min="10" max="10" width="5.42578125" hidden="1" customWidth="1"/>
    <col min="11" max="12" width="5.85546875" hidden="1" customWidth="1"/>
    <col min="13" max="13" width="5.42578125" customWidth="1"/>
    <col min="14" max="14" width="7.7109375" customWidth="1"/>
    <col min="15" max="15" width="5.7109375" customWidth="1"/>
    <col min="16" max="17" width="5.7109375" style="228" customWidth="1"/>
    <col min="18" max="18" width="5.7109375" customWidth="1"/>
    <col min="19" max="19" width="7.7109375" customWidth="1"/>
    <col min="20" max="20" width="5.42578125" customWidth="1"/>
    <col min="21" max="21" width="5.42578125" hidden="1" customWidth="1"/>
    <col min="22" max="22" width="6.42578125" customWidth="1"/>
    <col min="23" max="23" width="11.42578125" customWidth="1"/>
    <col min="24" max="24" width="6" customWidth="1"/>
  </cols>
  <sheetData>
    <row r="1" spans="1:26">
      <c r="A1" s="585" t="s">
        <v>10</v>
      </c>
      <c r="B1" s="586"/>
      <c r="C1" s="586"/>
      <c r="D1" s="587"/>
      <c r="E1" s="594" t="s">
        <v>11</v>
      </c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</row>
    <row r="2" spans="1:26">
      <c r="A2" s="588"/>
      <c r="B2" s="589"/>
      <c r="C2" s="589"/>
      <c r="D2" s="590"/>
      <c r="E2" s="596" t="s">
        <v>15</v>
      </c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</row>
    <row r="3" spans="1:26">
      <c r="A3" s="591"/>
      <c r="B3" s="592"/>
      <c r="C3" s="592"/>
      <c r="D3" s="593"/>
      <c r="E3" s="11" t="s">
        <v>12</v>
      </c>
      <c r="F3" s="242"/>
      <c r="G3" s="242"/>
      <c r="H3" s="596" t="s">
        <v>13</v>
      </c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</row>
    <row r="4" spans="1:26">
      <c r="A4" s="12" t="s">
        <v>0</v>
      </c>
      <c r="B4" s="598" t="s">
        <v>19</v>
      </c>
      <c r="C4" s="598"/>
      <c r="D4" s="599"/>
      <c r="E4" s="596" t="s">
        <v>14</v>
      </c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597"/>
    </row>
    <row r="5" spans="1:26" ht="15.75" thickBot="1">
      <c r="A5" s="533" t="s">
        <v>16</v>
      </c>
      <c r="B5" s="534"/>
      <c r="C5" s="600" t="s">
        <v>17</v>
      </c>
      <c r="D5" s="601"/>
      <c r="E5" s="601"/>
      <c r="F5" s="601"/>
      <c r="G5" s="601"/>
      <c r="H5" s="601"/>
      <c r="I5" s="601"/>
      <c r="J5" s="601"/>
      <c r="K5" s="601"/>
      <c r="L5" s="601"/>
      <c r="M5" s="600" t="s">
        <v>194</v>
      </c>
      <c r="N5" s="601"/>
      <c r="O5" s="601"/>
      <c r="P5" s="601"/>
      <c r="Q5" s="601"/>
      <c r="R5" s="601"/>
      <c r="S5" s="601"/>
      <c r="T5" s="601"/>
      <c r="U5" s="601"/>
      <c r="V5" s="601"/>
      <c r="X5">
        <v>1</v>
      </c>
    </row>
    <row r="6" spans="1:26" ht="15" customHeight="1">
      <c r="A6" s="582" t="s">
        <v>1</v>
      </c>
      <c r="B6" s="583"/>
      <c r="C6" s="582" t="s">
        <v>2</v>
      </c>
      <c r="D6" s="605"/>
      <c r="E6" s="606" t="s">
        <v>3</v>
      </c>
      <c r="F6" s="606"/>
      <c r="G6" s="606"/>
      <c r="H6" s="606"/>
      <c r="I6" s="607" t="s">
        <v>195</v>
      </c>
      <c r="J6" s="607" t="s">
        <v>196</v>
      </c>
      <c r="K6" s="563" t="s">
        <v>4</v>
      </c>
      <c r="L6" s="563" t="s">
        <v>5</v>
      </c>
      <c r="M6" s="582" t="s">
        <v>2</v>
      </c>
      <c r="N6" s="605"/>
      <c r="O6" s="606" t="s">
        <v>3</v>
      </c>
      <c r="P6" s="606"/>
      <c r="Q6" s="606"/>
      <c r="R6" s="606"/>
      <c r="S6" s="607" t="s">
        <v>195</v>
      </c>
      <c r="T6" s="607" t="s">
        <v>196</v>
      </c>
      <c r="U6" s="563" t="s">
        <v>4</v>
      </c>
      <c r="V6" s="561" t="s">
        <v>5</v>
      </c>
    </row>
    <row r="7" spans="1:26" ht="73.5" customHeight="1" thickBot="1">
      <c r="A7" s="542"/>
      <c r="B7" s="584"/>
      <c r="C7" s="1" t="s">
        <v>6</v>
      </c>
      <c r="D7" s="2" t="s">
        <v>7</v>
      </c>
      <c r="E7" s="3" t="s">
        <v>8</v>
      </c>
      <c r="F7" s="3" t="s">
        <v>9</v>
      </c>
      <c r="G7" s="3" t="s">
        <v>9</v>
      </c>
      <c r="H7" s="3" t="s">
        <v>197</v>
      </c>
      <c r="I7" s="608"/>
      <c r="J7" s="608"/>
      <c r="K7" s="564"/>
      <c r="L7" s="564"/>
      <c r="M7" s="1" t="s">
        <v>6</v>
      </c>
      <c r="N7" s="2" t="s">
        <v>7</v>
      </c>
      <c r="O7" s="3" t="s">
        <v>8</v>
      </c>
      <c r="P7" s="3" t="s">
        <v>9</v>
      </c>
      <c r="Q7" s="3" t="s">
        <v>9</v>
      </c>
      <c r="R7" s="3" t="s">
        <v>9</v>
      </c>
      <c r="S7" s="608"/>
      <c r="T7" s="608"/>
      <c r="U7" s="564"/>
      <c r="V7" s="562"/>
    </row>
    <row r="8" spans="1:26" ht="15" customHeight="1">
      <c r="A8" s="79">
        <v>0.29166666666666669</v>
      </c>
      <c r="B8" s="80">
        <v>0.2951388888888889</v>
      </c>
      <c r="C8" s="72"/>
      <c r="D8" s="5">
        <v>8</v>
      </c>
      <c r="E8" s="5">
        <v>2</v>
      </c>
      <c r="F8" s="5"/>
      <c r="G8" s="5"/>
      <c r="H8" s="5"/>
      <c r="I8" s="68">
        <f>C8+D8+$X$5*(E8+F8+G8+H8)</f>
        <v>10</v>
      </c>
      <c r="J8" s="5"/>
      <c r="K8" s="577">
        <f>+SUM(I8:I19)</f>
        <v>106</v>
      </c>
      <c r="L8" s="609">
        <f>+K8/(4*MAX(J10:J19))</f>
        <v>0.8833333333333333</v>
      </c>
      <c r="M8" s="72"/>
      <c r="N8" s="5">
        <v>12</v>
      </c>
      <c r="O8" s="5">
        <v>1</v>
      </c>
      <c r="P8" s="5"/>
      <c r="Q8" s="5"/>
      <c r="R8" s="5"/>
      <c r="S8" s="68">
        <f>M8+N8+$X$5*(O8+P8+Q8+R8)</f>
        <v>13</v>
      </c>
      <c r="T8" s="5"/>
      <c r="U8" s="577">
        <f>+SUM(S8:S19)</f>
        <v>131</v>
      </c>
      <c r="V8" s="602">
        <f>+U8/(4*MAX(T10:T19))</f>
        <v>0.79878048780487809</v>
      </c>
      <c r="Y8" s="138">
        <f>SUM(H8:H19)</f>
        <v>0</v>
      </c>
      <c r="Z8" s="138">
        <f>SUM(R8:R19)</f>
        <v>0</v>
      </c>
    </row>
    <row r="9" spans="1:26">
      <c r="A9" s="81">
        <v>0.2951388888888889</v>
      </c>
      <c r="B9" s="82">
        <v>0.2986111111111111</v>
      </c>
      <c r="C9" s="189"/>
      <c r="D9" s="229">
        <v>10</v>
      </c>
      <c r="E9" s="7"/>
      <c r="F9" s="229">
        <v>2</v>
      </c>
      <c r="G9" s="229"/>
      <c r="H9" s="229"/>
      <c r="I9" s="7">
        <f t="shared" ref="I9:I72" si="0">C9+D9+$X$5*(E9+F9+G9+H9)</f>
        <v>12</v>
      </c>
      <c r="J9" s="7"/>
      <c r="K9" s="578"/>
      <c r="L9" s="610"/>
      <c r="M9" s="189">
        <v>1</v>
      </c>
      <c r="N9" s="229">
        <v>11</v>
      </c>
      <c r="O9" s="229"/>
      <c r="P9" s="229"/>
      <c r="Q9" s="229"/>
      <c r="R9" s="229"/>
      <c r="S9" s="7">
        <f t="shared" ref="S9:S72" si="1">M9+N9+$X$5*(O9+P9+Q9+R9)</f>
        <v>12</v>
      </c>
      <c r="T9" s="7"/>
      <c r="U9" s="578"/>
      <c r="V9" s="603"/>
    </row>
    <row r="10" spans="1:26">
      <c r="A10" s="81">
        <v>0.29861111111111099</v>
      </c>
      <c r="B10" s="83">
        <v>0.30208333333333298</v>
      </c>
      <c r="C10" s="189"/>
      <c r="D10" s="229">
        <v>7</v>
      </c>
      <c r="E10" s="229"/>
      <c r="F10" s="229"/>
      <c r="G10" s="229"/>
      <c r="H10" s="229"/>
      <c r="I10" s="7">
        <f t="shared" si="0"/>
        <v>7</v>
      </c>
      <c r="J10" s="7">
        <f>I8+I9+I10</f>
        <v>29</v>
      </c>
      <c r="K10" s="578"/>
      <c r="L10" s="610"/>
      <c r="M10" s="189">
        <v>1</v>
      </c>
      <c r="N10" s="229">
        <v>14</v>
      </c>
      <c r="O10" s="229">
        <v>1</v>
      </c>
      <c r="P10" s="229"/>
      <c r="Q10" s="229"/>
      <c r="R10" s="229"/>
      <c r="S10" s="7">
        <f t="shared" si="1"/>
        <v>16</v>
      </c>
      <c r="T10" s="7">
        <f>S8+S9+S10</f>
        <v>41</v>
      </c>
      <c r="U10" s="578"/>
      <c r="V10" s="603"/>
    </row>
    <row r="11" spans="1:26">
      <c r="A11" s="81">
        <v>0.30208333333333298</v>
      </c>
      <c r="B11" s="82">
        <v>0.30555555555555503</v>
      </c>
      <c r="C11" s="189"/>
      <c r="D11" s="229">
        <v>5</v>
      </c>
      <c r="E11" s="229">
        <v>2</v>
      </c>
      <c r="F11" s="229"/>
      <c r="G11" s="229"/>
      <c r="H11" s="229"/>
      <c r="I11" s="7">
        <f t="shared" si="0"/>
        <v>7</v>
      </c>
      <c r="J11" s="7">
        <f t="shared" ref="J11:J74" si="2">I9+I10+I11</f>
        <v>26</v>
      </c>
      <c r="K11" s="578"/>
      <c r="L11" s="610"/>
      <c r="M11" s="189"/>
      <c r="N11" s="229">
        <v>6</v>
      </c>
      <c r="O11" s="229"/>
      <c r="P11" s="229"/>
      <c r="Q11" s="229"/>
      <c r="R11" s="229"/>
      <c r="S11" s="7">
        <f t="shared" si="1"/>
        <v>6</v>
      </c>
      <c r="T11" s="7">
        <f t="shared" ref="T11:T74" si="3">S9+S10+S11</f>
        <v>34</v>
      </c>
      <c r="U11" s="578"/>
      <c r="V11" s="603"/>
    </row>
    <row r="12" spans="1:26">
      <c r="A12" s="81">
        <v>0.30555555555555503</v>
      </c>
      <c r="B12" s="83">
        <v>0.30902777777777801</v>
      </c>
      <c r="C12" s="189"/>
      <c r="D12" s="229">
        <v>6</v>
      </c>
      <c r="E12" s="229"/>
      <c r="F12" s="229"/>
      <c r="G12" s="229"/>
      <c r="H12" s="229"/>
      <c r="I12" s="7">
        <f t="shared" si="0"/>
        <v>6</v>
      </c>
      <c r="J12" s="7">
        <f t="shared" si="2"/>
        <v>20</v>
      </c>
      <c r="K12" s="578"/>
      <c r="L12" s="610"/>
      <c r="M12" s="189">
        <v>1</v>
      </c>
      <c r="N12" s="229">
        <v>8</v>
      </c>
      <c r="O12" s="229">
        <v>1</v>
      </c>
      <c r="P12" s="229">
        <v>1</v>
      </c>
      <c r="Q12" s="229"/>
      <c r="R12" s="229"/>
      <c r="S12" s="7">
        <f t="shared" si="1"/>
        <v>11</v>
      </c>
      <c r="T12" s="7">
        <f t="shared" si="3"/>
        <v>33</v>
      </c>
      <c r="U12" s="578"/>
      <c r="V12" s="603"/>
    </row>
    <row r="13" spans="1:26">
      <c r="A13" s="81">
        <v>0.30902777777777801</v>
      </c>
      <c r="B13" s="82">
        <v>0.3125</v>
      </c>
      <c r="C13" s="189"/>
      <c r="D13" s="229">
        <v>9</v>
      </c>
      <c r="E13" s="229"/>
      <c r="F13" s="229"/>
      <c r="G13" s="229"/>
      <c r="H13" s="229"/>
      <c r="I13" s="7">
        <f t="shared" si="0"/>
        <v>9</v>
      </c>
      <c r="J13" s="7">
        <f t="shared" si="2"/>
        <v>22</v>
      </c>
      <c r="K13" s="578"/>
      <c r="L13" s="610"/>
      <c r="M13" s="189"/>
      <c r="N13" s="229">
        <v>12</v>
      </c>
      <c r="O13" s="229">
        <v>1</v>
      </c>
      <c r="P13" s="229"/>
      <c r="Q13" s="229"/>
      <c r="R13" s="229"/>
      <c r="S13" s="7">
        <f t="shared" si="1"/>
        <v>13</v>
      </c>
      <c r="T13" s="7">
        <f t="shared" si="3"/>
        <v>30</v>
      </c>
      <c r="U13" s="578"/>
      <c r="V13" s="603"/>
    </row>
    <row r="14" spans="1:26">
      <c r="A14" s="81">
        <v>0.3125</v>
      </c>
      <c r="B14" s="83">
        <v>0.31597222222222199</v>
      </c>
      <c r="C14" s="189"/>
      <c r="D14" s="229">
        <v>5</v>
      </c>
      <c r="E14" s="229">
        <v>2</v>
      </c>
      <c r="F14" s="229">
        <v>1</v>
      </c>
      <c r="G14" s="229"/>
      <c r="H14" s="229"/>
      <c r="I14" s="7">
        <f t="shared" si="0"/>
        <v>8</v>
      </c>
      <c r="J14" s="7">
        <f t="shared" si="2"/>
        <v>23</v>
      </c>
      <c r="K14" s="578"/>
      <c r="L14" s="610"/>
      <c r="M14" s="189"/>
      <c r="N14" s="229">
        <v>10</v>
      </c>
      <c r="O14" s="229"/>
      <c r="P14" s="229"/>
      <c r="Q14" s="229"/>
      <c r="R14" s="229"/>
      <c r="S14" s="7">
        <f t="shared" si="1"/>
        <v>10</v>
      </c>
      <c r="T14" s="7">
        <f t="shared" si="3"/>
        <v>34</v>
      </c>
      <c r="U14" s="578"/>
      <c r="V14" s="603"/>
    </row>
    <row r="15" spans="1:26">
      <c r="A15" s="81">
        <v>0.31597222222222199</v>
      </c>
      <c r="B15" s="82">
        <v>0.31944444444444398</v>
      </c>
      <c r="C15" s="189">
        <v>1</v>
      </c>
      <c r="D15" s="229">
        <v>7</v>
      </c>
      <c r="E15" s="229"/>
      <c r="F15" s="229">
        <v>1</v>
      </c>
      <c r="G15" s="229"/>
      <c r="H15" s="229"/>
      <c r="I15" s="7">
        <f t="shared" si="0"/>
        <v>9</v>
      </c>
      <c r="J15" s="7">
        <f t="shared" si="2"/>
        <v>26</v>
      </c>
      <c r="K15" s="578"/>
      <c r="L15" s="610"/>
      <c r="M15" s="189"/>
      <c r="N15" s="229">
        <v>13</v>
      </c>
      <c r="O15" s="229"/>
      <c r="P15" s="229"/>
      <c r="Q15" s="229"/>
      <c r="R15" s="229"/>
      <c r="S15" s="7">
        <f t="shared" si="1"/>
        <v>13</v>
      </c>
      <c r="T15" s="7">
        <f t="shared" si="3"/>
        <v>36</v>
      </c>
      <c r="U15" s="578"/>
      <c r="V15" s="603"/>
    </row>
    <row r="16" spans="1:26">
      <c r="A16" s="81">
        <v>0.31944444444444398</v>
      </c>
      <c r="B16" s="83">
        <v>0.32291666666666702</v>
      </c>
      <c r="C16" s="189"/>
      <c r="D16" s="229">
        <v>10</v>
      </c>
      <c r="E16" s="229"/>
      <c r="F16" s="229">
        <v>1</v>
      </c>
      <c r="G16" s="229"/>
      <c r="H16" s="229"/>
      <c r="I16" s="7">
        <f t="shared" si="0"/>
        <v>11</v>
      </c>
      <c r="J16" s="7">
        <f t="shared" si="2"/>
        <v>28</v>
      </c>
      <c r="K16" s="578"/>
      <c r="L16" s="610"/>
      <c r="M16" s="189"/>
      <c r="N16" s="229">
        <v>10</v>
      </c>
      <c r="O16" s="229">
        <v>2</v>
      </c>
      <c r="P16" s="229"/>
      <c r="Q16" s="229"/>
      <c r="R16" s="229"/>
      <c r="S16" s="7">
        <f t="shared" si="1"/>
        <v>12</v>
      </c>
      <c r="T16" s="7">
        <f t="shared" si="3"/>
        <v>35</v>
      </c>
      <c r="U16" s="578"/>
      <c r="V16" s="603"/>
    </row>
    <row r="17" spans="1:26">
      <c r="A17" s="81">
        <v>0.32291666666666702</v>
      </c>
      <c r="B17" s="82">
        <v>0.32638888888888901</v>
      </c>
      <c r="C17" s="189"/>
      <c r="D17" s="229">
        <v>8</v>
      </c>
      <c r="E17" s="229">
        <v>2</v>
      </c>
      <c r="F17" s="229"/>
      <c r="G17" s="229"/>
      <c r="H17" s="229"/>
      <c r="I17" s="7">
        <f t="shared" si="0"/>
        <v>10</v>
      </c>
      <c r="J17" s="7">
        <f t="shared" si="2"/>
        <v>30</v>
      </c>
      <c r="K17" s="578"/>
      <c r="L17" s="610"/>
      <c r="M17" s="189">
        <v>1</v>
      </c>
      <c r="N17" s="229">
        <v>11</v>
      </c>
      <c r="O17" s="229"/>
      <c r="P17" s="229"/>
      <c r="Q17" s="229"/>
      <c r="R17" s="229"/>
      <c r="S17" s="7">
        <f t="shared" si="1"/>
        <v>12</v>
      </c>
      <c r="T17" s="7">
        <f t="shared" si="3"/>
        <v>37</v>
      </c>
      <c r="U17" s="578"/>
      <c r="V17" s="603"/>
    </row>
    <row r="18" spans="1:26">
      <c r="A18" s="81">
        <v>0.32638888888888901</v>
      </c>
      <c r="B18" s="83">
        <v>0.32986111111111099</v>
      </c>
      <c r="C18" s="189"/>
      <c r="D18" s="229">
        <v>9</v>
      </c>
      <c r="E18" s="229"/>
      <c r="F18" s="229"/>
      <c r="G18" s="229"/>
      <c r="H18" s="229"/>
      <c r="I18" s="7">
        <f t="shared" si="0"/>
        <v>9</v>
      </c>
      <c r="J18" s="7">
        <f t="shared" si="2"/>
        <v>30</v>
      </c>
      <c r="K18" s="578"/>
      <c r="L18" s="610"/>
      <c r="M18" s="189"/>
      <c r="N18" s="229">
        <v>5</v>
      </c>
      <c r="O18" s="229">
        <v>1</v>
      </c>
      <c r="P18" s="229"/>
      <c r="Q18" s="229"/>
      <c r="R18" s="229"/>
      <c r="S18" s="7">
        <f t="shared" si="1"/>
        <v>6</v>
      </c>
      <c r="T18" s="7">
        <f t="shared" si="3"/>
        <v>30</v>
      </c>
      <c r="U18" s="578"/>
      <c r="V18" s="603"/>
    </row>
    <row r="19" spans="1:26" ht="15.75" customHeight="1" thickBot="1">
      <c r="A19" s="84">
        <v>0.32986111111111099</v>
      </c>
      <c r="B19" s="85">
        <v>0.33333333333333298</v>
      </c>
      <c r="C19" s="179"/>
      <c r="D19" s="31">
        <v>7</v>
      </c>
      <c r="E19" s="31">
        <v>1</v>
      </c>
      <c r="F19" s="31"/>
      <c r="G19" s="31"/>
      <c r="H19" s="31"/>
      <c r="I19" s="261">
        <f t="shared" si="0"/>
        <v>8</v>
      </c>
      <c r="J19" s="32">
        <f t="shared" si="2"/>
        <v>27</v>
      </c>
      <c r="K19" s="579"/>
      <c r="L19" s="611"/>
      <c r="M19" s="179"/>
      <c r="N19" s="31">
        <v>7</v>
      </c>
      <c r="O19" s="31"/>
      <c r="P19" s="31"/>
      <c r="Q19" s="31"/>
      <c r="R19" s="31"/>
      <c r="S19" s="261">
        <f t="shared" si="1"/>
        <v>7</v>
      </c>
      <c r="T19" s="32">
        <f t="shared" si="3"/>
        <v>25</v>
      </c>
      <c r="U19" s="579"/>
      <c r="V19" s="604"/>
    </row>
    <row r="20" spans="1:26">
      <c r="A20" s="79">
        <v>0.33333333333333298</v>
      </c>
      <c r="B20" s="80">
        <v>0.33680555555555503</v>
      </c>
      <c r="C20" s="157"/>
      <c r="D20" s="152">
        <v>6</v>
      </c>
      <c r="E20" s="152">
        <v>1</v>
      </c>
      <c r="F20" s="152">
        <v>1</v>
      </c>
      <c r="G20" s="152"/>
      <c r="H20" s="152"/>
      <c r="I20" s="68">
        <f t="shared" si="0"/>
        <v>8</v>
      </c>
      <c r="J20" s="5">
        <f>I18+I19+I20</f>
        <v>25</v>
      </c>
      <c r="K20" s="577">
        <f>+SUM(I20:I31)</f>
        <v>135</v>
      </c>
      <c r="L20" s="609">
        <f>+K20/(4*MAX(J22:J31))</f>
        <v>0.91216216216216217</v>
      </c>
      <c r="M20" s="157">
        <v>1</v>
      </c>
      <c r="N20" s="152">
        <v>5</v>
      </c>
      <c r="O20" s="152">
        <v>1</v>
      </c>
      <c r="P20" s="152"/>
      <c r="Q20" s="152"/>
      <c r="R20" s="152"/>
      <c r="S20" s="68">
        <f t="shared" si="1"/>
        <v>7</v>
      </c>
      <c r="T20" s="5">
        <f t="shared" si="3"/>
        <v>20</v>
      </c>
      <c r="U20" s="577">
        <f>+SUM(S20:S31)</f>
        <v>101</v>
      </c>
      <c r="V20" s="602">
        <f>+U20/(4*MAX(T22:T31))</f>
        <v>0.7890625</v>
      </c>
      <c r="Y20" s="138">
        <f>SUM(H20:H31)</f>
        <v>0</v>
      </c>
      <c r="Z20" s="138">
        <f>SUM(R20:R31)</f>
        <v>0</v>
      </c>
    </row>
    <row r="21" spans="1:26">
      <c r="A21" s="81">
        <v>0.33680555555555503</v>
      </c>
      <c r="B21" s="82">
        <v>0.34027777777777801</v>
      </c>
      <c r="C21" s="189"/>
      <c r="D21" s="229">
        <v>10</v>
      </c>
      <c r="E21" s="229"/>
      <c r="F21" s="229"/>
      <c r="G21" s="229"/>
      <c r="H21" s="229"/>
      <c r="I21" s="7">
        <f t="shared" si="0"/>
        <v>10</v>
      </c>
      <c r="J21" s="7">
        <f t="shared" si="2"/>
        <v>26</v>
      </c>
      <c r="K21" s="578"/>
      <c r="L21" s="610"/>
      <c r="M21" s="189"/>
      <c r="N21" s="229">
        <v>7</v>
      </c>
      <c r="O21" s="229"/>
      <c r="P21" s="229"/>
      <c r="Q21" s="229"/>
      <c r="R21" s="229"/>
      <c r="S21" s="7">
        <f t="shared" si="1"/>
        <v>7</v>
      </c>
      <c r="T21" s="7">
        <f t="shared" si="3"/>
        <v>21</v>
      </c>
      <c r="U21" s="578"/>
      <c r="V21" s="603"/>
    </row>
    <row r="22" spans="1:26">
      <c r="A22" s="81">
        <v>0.34027777777777801</v>
      </c>
      <c r="B22" s="83">
        <v>0.34375</v>
      </c>
      <c r="C22" s="189"/>
      <c r="D22" s="229">
        <v>12</v>
      </c>
      <c r="E22" s="229">
        <v>1</v>
      </c>
      <c r="F22" s="229"/>
      <c r="G22" s="229"/>
      <c r="H22" s="229"/>
      <c r="I22" s="7">
        <f t="shared" si="0"/>
        <v>13</v>
      </c>
      <c r="J22" s="7">
        <f t="shared" si="2"/>
        <v>31</v>
      </c>
      <c r="K22" s="578"/>
      <c r="L22" s="610"/>
      <c r="M22" s="189"/>
      <c r="N22" s="229">
        <v>7</v>
      </c>
      <c r="O22" s="229">
        <v>1</v>
      </c>
      <c r="P22" s="229"/>
      <c r="Q22" s="229"/>
      <c r="R22" s="229"/>
      <c r="S22" s="7">
        <f t="shared" si="1"/>
        <v>8</v>
      </c>
      <c r="T22" s="7">
        <f t="shared" si="3"/>
        <v>22</v>
      </c>
      <c r="U22" s="578"/>
      <c r="V22" s="603"/>
    </row>
    <row r="23" spans="1:26">
      <c r="A23" s="81">
        <v>0.34375</v>
      </c>
      <c r="B23" s="82">
        <v>0.34722222222222199</v>
      </c>
      <c r="C23" s="189"/>
      <c r="D23" s="229">
        <v>12</v>
      </c>
      <c r="E23" s="229">
        <v>1</v>
      </c>
      <c r="F23" s="229"/>
      <c r="G23" s="229"/>
      <c r="H23" s="229"/>
      <c r="I23" s="7">
        <f t="shared" si="0"/>
        <v>13</v>
      </c>
      <c r="J23" s="7">
        <f t="shared" si="2"/>
        <v>36</v>
      </c>
      <c r="K23" s="578"/>
      <c r="L23" s="610"/>
      <c r="M23" s="189">
        <v>1</v>
      </c>
      <c r="N23" s="229">
        <v>6</v>
      </c>
      <c r="O23" s="229"/>
      <c r="P23" s="229"/>
      <c r="Q23" s="229"/>
      <c r="R23" s="229"/>
      <c r="S23" s="7">
        <f t="shared" si="1"/>
        <v>7</v>
      </c>
      <c r="T23" s="7">
        <f t="shared" si="3"/>
        <v>22</v>
      </c>
      <c r="U23" s="578"/>
      <c r="V23" s="603"/>
    </row>
    <row r="24" spans="1:26">
      <c r="A24" s="81">
        <v>0.34722222222222199</v>
      </c>
      <c r="B24" s="83">
        <v>0.35069444444444398</v>
      </c>
      <c r="C24" s="189"/>
      <c r="D24" s="229">
        <v>11</v>
      </c>
      <c r="E24" s="229"/>
      <c r="F24" s="229"/>
      <c r="G24" s="229"/>
      <c r="H24" s="229"/>
      <c r="I24" s="7">
        <f t="shared" si="0"/>
        <v>11</v>
      </c>
      <c r="J24" s="7">
        <f t="shared" si="2"/>
        <v>37</v>
      </c>
      <c r="K24" s="578"/>
      <c r="L24" s="610"/>
      <c r="M24" s="189"/>
      <c r="N24" s="229">
        <v>12</v>
      </c>
      <c r="O24" s="229">
        <v>2</v>
      </c>
      <c r="P24" s="229"/>
      <c r="Q24" s="229"/>
      <c r="R24" s="229"/>
      <c r="S24" s="7">
        <f t="shared" si="1"/>
        <v>14</v>
      </c>
      <c r="T24" s="7">
        <f t="shared" si="3"/>
        <v>29</v>
      </c>
      <c r="U24" s="578"/>
      <c r="V24" s="603"/>
    </row>
    <row r="25" spans="1:26">
      <c r="A25" s="81">
        <v>0.35069444444444398</v>
      </c>
      <c r="B25" s="82">
        <v>0.35416666666666702</v>
      </c>
      <c r="C25" s="189"/>
      <c r="D25" s="229">
        <v>11</v>
      </c>
      <c r="E25" s="229"/>
      <c r="F25" s="229">
        <v>1</v>
      </c>
      <c r="G25" s="229"/>
      <c r="H25" s="229"/>
      <c r="I25" s="7">
        <f t="shared" si="0"/>
        <v>12</v>
      </c>
      <c r="J25" s="7">
        <f t="shared" si="2"/>
        <v>36</v>
      </c>
      <c r="K25" s="578"/>
      <c r="L25" s="610"/>
      <c r="M25" s="189"/>
      <c r="N25" s="229">
        <v>5</v>
      </c>
      <c r="O25" s="229">
        <v>1</v>
      </c>
      <c r="P25" s="229"/>
      <c r="Q25" s="229"/>
      <c r="R25" s="229"/>
      <c r="S25" s="7">
        <f t="shared" si="1"/>
        <v>6</v>
      </c>
      <c r="T25" s="7">
        <f t="shared" si="3"/>
        <v>27</v>
      </c>
      <c r="U25" s="578"/>
      <c r="V25" s="603"/>
    </row>
    <row r="26" spans="1:26">
      <c r="A26" s="81">
        <v>0.35416666666666602</v>
      </c>
      <c r="B26" s="83">
        <v>0.35763888888888901</v>
      </c>
      <c r="C26" s="189"/>
      <c r="D26" s="229">
        <v>7</v>
      </c>
      <c r="E26" s="229">
        <v>1</v>
      </c>
      <c r="F26" s="229"/>
      <c r="G26" s="229"/>
      <c r="H26" s="229"/>
      <c r="I26" s="7">
        <f t="shared" si="0"/>
        <v>8</v>
      </c>
      <c r="J26" s="7">
        <f t="shared" si="2"/>
        <v>31</v>
      </c>
      <c r="K26" s="578"/>
      <c r="L26" s="610"/>
      <c r="M26" s="189"/>
      <c r="N26" s="229">
        <v>7</v>
      </c>
      <c r="O26" s="229"/>
      <c r="P26" s="229"/>
      <c r="Q26" s="229"/>
      <c r="R26" s="229"/>
      <c r="S26" s="7">
        <f t="shared" si="1"/>
        <v>7</v>
      </c>
      <c r="T26" s="7">
        <f t="shared" si="3"/>
        <v>27</v>
      </c>
      <c r="U26" s="578"/>
      <c r="V26" s="603"/>
    </row>
    <row r="27" spans="1:26">
      <c r="A27" s="81">
        <v>0.35763888888888901</v>
      </c>
      <c r="B27" s="82">
        <v>0.36111111111111099</v>
      </c>
      <c r="C27" s="189">
        <v>1</v>
      </c>
      <c r="D27" s="229">
        <v>11</v>
      </c>
      <c r="E27" s="229">
        <v>1</v>
      </c>
      <c r="F27" s="229"/>
      <c r="G27" s="229"/>
      <c r="H27" s="229"/>
      <c r="I27" s="7">
        <f t="shared" si="0"/>
        <v>13</v>
      </c>
      <c r="J27" s="7">
        <f t="shared" si="2"/>
        <v>33</v>
      </c>
      <c r="K27" s="578"/>
      <c r="L27" s="610"/>
      <c r="M27" s="189"/>
      <c r="N27" s="229">
        <v>9</v>
      </c>
      <c r="O27" s="229"/>
      <c r="P27" s="229">
        <v>1</v>
      </c>
      <c r="Q27" s="229"/>
      <c r="R27" s="229"/>
      <c r="S27" s="7">
        <f t="shared" si="1"/>
        <v>10</v>
      </c>
      <c r="T27" s="7">
        <f t="shared" si="3"/>
        <v>23</v>
      </c>
      <c r="U27" s="578"/>
      <c r="V27" s="603"/>
    </row>
    <row r="28" spans="1:26">
      <c r="A28" s="81">
        <v>0.36111111111111099</v>
      </c>
      <c r="B28" s="83">
        <v>0.36458333333333298</v>
      </c>
      <c r="C28" s="189"/>
      <c r="D28" s="229">
        <v>11</v>
      </c>
      <c r="E28" s="229"/>
      <c r="F28" s="229"/>
      <c r="G28" s="229"/>
      <c r="H28" s="229"/>
      <c r="I28" s="7">
        <f t="shared" si="0"/>
        <v>11</v>
      </c>
      <c r="J28" s="7">
        <f t="shared" si="2"/>
        <v>32</v>
      </c>
      <c r="K28" s="578"/>
      <c r="L28" s="610"/>
      <c r="M28" s="189"/>
      <c r="N28" s="229">
        <v>11</v>
      </c>
      <c r="O28" s="229">
        <v>2</v>
      </c>
      <c r="P28" s="229"/>
      <c r="Q28" s="229"/>
      <c r="R28" s="229"/>
      <c r="S28" s="7">
        <f t="shared" si="1"/>
        <v>13</v>
      </c>
      <c r="T28" s="7">
        <f t="shared" si="3"/>
        <v>30</v>
      </c>
      <c r="U28" s="578"/>
      <c r="V28" s="603"/>
    </row>
    <row r="29" spans="1:26">
      <c r="A29" s="81">
        <v>0.36458333333333298</v>
      </c>
      <c r="B29" s="82">
        <v>0.36805555555555503</v>
      </c>
      <c r="C29" s="189"/>
      <c r="D29" s="229">
        <v>10</v>
      </c>
      <c r="E29" s="229">
        <v>2</v>
      </c>
      <c r="F29" s="229"/>
      <c r="G29" s="229"/>
      <c r="H29" s="229"/>
      <c r="I29" s="7">
        <f t="shared" si="0"/>
        <v>12</v>
      </c>
      <c r="J29" s="7">
        <f t="shared" si="2"/>
        <v>36</v>
      </c>
      <c r="K29" s="578"/>
      <c r="L29" s="610"/>
      <c r="M29" s="189"/>
      <c r="N29" s="229">
        <v>8</v>
      </c>
      <c r="O29" s="229"/>
      <c r="P29" s="229">
        <v>1</v>
      </c>
      <c r="Q29" s="229"/>
      <c r="R29" s="229"/>
      <c r="S29" s="7">
        <f t="shared" si="1"/>
        <v>9</v>
      </c>
      <c r="T29" s="7">
        <f t="shared" si="3"/>
        <v>32</v>
      </c>
      <c r="U29" s="578"/>
      <c r="V29" s="603"/>
    </row>
    <row r="30" spans="1:26">
      <c r="A30" s="81">
        <v>0.36805555555555503</v>
      </c>
      <c r="B30" s="83">
        <v>0.37152777777777801</v>
      </c>
      <c r="C30" s="189"/>
      <c r="D30" s="229">
        <v>10</v>
      </c>
      <c r="E30" s="229"/>
      <c r="F30" s="229"/>
      <c r="G30" s="229"/>
      <c r="H30" s="229"/>
      <c r="I30" s="7">
        <f t="shared" si="0"/>
        <v>10</v>
      </c>
      <c r="J30" s="7">
        <f t="shared" si="2"/>
        <v>33</v>
      </c>
      <c r="K30" s="578"/>
      <c r="L30" s="610"/>
      <c r="M30" s="189"/>
      <c r="N30" s="229">
        <v>6</v>
      </c>
      <c r="O30" s="229"/>
      <c r="P30" s="229">
        <v>1</v>
      </c>
      <c r="Q30" s="229"/>
      <c r="R30" s="229"/>
      <c r="S30" s="7">
        <f t="shared" si="1"/>
        <v>7</v>
      </c>
      <c r="T30" s="7">
        <f t="shared" si="3"/>
        <v>29</v>
      </c>
      <c r="U30" s="578"/>
      <c r="V30" s="603"/>
    </row>
    <row r="31" spans="1:26" ht="15.75" thickBot="1">
      <c r="A31" s="84">
        <v>0.37152777777777701</v>
      </c>
      <c r="B31" s="85">
        <v>0.375</v>
      </c>
      <c r="C31" s="190">
        <v>1</v>
      </c>
      <c r="D31" s="155">
        <v>12</v>
      </c>
      <c r="E31" s="155">
        <v>1</v>
      </c>
      <c r="F31" s="155"/>
      <c r="G31" s="155"/>
      <c r="H31" s="155"/>
      <c r="I31" s="261">
        <f t="shared" si="0"/>
        <v>14</v>
      </c>
      <c r="J31" s="22">
        <f t="shared" si="2"/>
        <v>36</v>
      </c>
      <c r="K31" s="579"/>
      <c r="L31" s="611"/>
      <c r="M31" s="190"/>
      <c r="N31" s="155">
        <v>5</v>
      </c>
      <c r="O31" s="155">
        <v>1</v>
      </c>
      <c r="P31" s="155"/>
      <c r="Q31" s="155"/>
      <c r="R31" s="155"/>
      <c r="S31" s="261">
        <f t="shared" si="1"/>
        <v>6</v>
      </c>
      <c r="T31" s="22">
        <f t="shared" si="3"/>
        <v>22</v>
      </c>
      <c r="U31" s="579"/>
      <c r="V31" s="604"/>
    </row>
    <row r="32" spans="1:26">
      <c r="A32" s="81">
        <v>0.375</v>
      </c>
      <c r="B32" s="83">
        <v>0.37847222222222199</v>
      </c>
      <c r="C32" s="157"/>
      <c r="D32" s="152">
        <v>9</v>
      </c>
      <c r="E32" s="152"/>
      <c r="F32" s="152"/>
      <c r="G32" s="152"/>
      <c r="H32" s="152"/>
      <c r="I32" s="68">
        <f t="shared" si="0"/>
        <v>9</v>
      </c>
      <c r="J32" s="5">
        <f t="shared" si="2"/>
        <v>33</v>
      </c>
      <c r="K32" s="577">
        <f>+SUM(I32:I43)</f>
        <v>134</v>
      </c>
      <c r="L32" s="609">
        <f>+K32/(4*MAX(J34:J43))</f>
        <v>0.85897435897435892</v>
      </c>
      <c r="M32" s="157"/>
      <c r="N32" s="152">
        <v>7</v>
      </c>
      <c r="O32" s="152"/>
      <c r="P32" s="152"/>
      <c r="Q32" s="152"/>
      <c r="R32" s="152"/>
      <c r="S32" s="68">
        <f t="shared" si="1"/>
        <v>7</v>
      </c>
      <c r="T32" s="5">
        <f t="shared" si="3"/>
        <v>20</v>
      </c>
      <c r="U32" s="577">
        <f>+SUM(S32:S43)</f>
        <v>107</v>
      </c>
      <c r="V32" s="602">
        <f>+U32/(4*MAX(T34:T43))</f>
        <v>0.8359375</v>
      </c>
      <c r="Y32" s="138">
        <f>SUM(H32:H43)</f>
        <v>0</v>
      </c>
      <c r="Z32" s="138">
        <f>SUM(R32:R43)</f>
        <v>0</v>
      </c>
    </row>
    <row r="33" spans="1:26">
      <c r="A33" s="81">
        <v>0.37847222222222199</v>
      </c>
      <c r="B33" s="82">
        <v>0.38194444444444398</v>
      </c>
      <c r="C33" s="189"/>
      <c r="D33" s="229">
        <v>11</v>
      </c>
      <c r="E33" s="229">
        <v>1</v>
      </c>
      <c r="F33" s="229"/>
      <c r="G33" s="229"/>
      <c r="H33" s="229"/>
      <c r="I33" s="7">
        <f t="shared" si="0"/>
        <v>12</v>
      </c>
      <c r="J33" s="7">
        <f t="shared" si="2"/>
        <v>35</v>
      </c>
      <c r="K33" s="578"/>
      <c r="L33" s="610"/>
      <c r="M33" s="189"/>
      <c r="N33" s="229">
        <v>7</v>
      </c>
      <c r="O33" s="229">
        <v>1</v>
      </c>
      <c r="P33" s="229"/>
      <c r="Q33" s="229"/>
      <c r="R33" s="229"/>
      <c r="S33" s="7">
        <f t="shared" si="1"/>
        <v>8</v>
      </c>
      <c r="T33" s="7">
        <f t="shared" si="3"/>
        <v>21</v>
      </c>
      <c r="U33" s="578"/>
      <c r="V33" s="603"/>
    </row>
    <row r="34" spans="1:26">
      <c r="A34" s="81">
        <v>0.38194444444444398</v>
      </c>
      <c r="B34" s="83">
        <v>0.38541666666666602</v>
      </c>
      <c r="C34" s="189">
        <v>1</v>
      </c>
      <c r="D34" s="229">
        <v>10</v>
      </c>
      <c r="E34" s="229">
        <v>1</v>
      </c>
      <c r="F34" s="229"/>
      <c r="G34" s="229"/>
      <c r="H34" s="229"/>
      <c r="I34" s="7">
        <f t="shared" si="0"/>
        <v>12</v>
      </c>
      <c r="J34" s="7">
        <f t="shared" si="2"/>
        <v>33</v>
      </c>
      <c r="K34" s="578"/>
      <c r="L34" s="610"/>
      <c r="M34" s="189">
        <v>1</v>
      </c>
      <c r="N34" s="229">
        <v>6</v>
      </c>
      <c r="O34" s="229"/>
      <c r="P34" s="229"/>
      <c r="Q34" s="229"/>
      <c r="R34" s="229"/>
      <c r="S34" s="7">
        <f t="shared" si="1"/>
        <v>7</v>
      </c>
      <c r="T34" s="7">
        <f t="shared" si="3"/>
        <v>22</v>
      </c>
      <c r="U34" s="578"/>
      <c r="V34" s="603"/>
    </row>
    <row r="35" spans="1:26">
      <c r="A35" s="81">
        <v>0.38541666666666602</v>
      </c>
      <c r="B35" s="82">
        <v>0.38888888888888901</v>
      </c>
      <c r="C35" s="189"/>
      <c r="D35" s="229">
        <v>6</v>
      </c>
      <c r="E35" s="229"/>
      <c r="F35" s="229"/>
      <c r="G35" s="229"/>
      <c r="H35" s="229"/>
      <c r="I35" s="7">
        <f t="shared" si="0"/>
        <v>6</v>
      </c>
      <c r="J35" s="7">
        <f t="shared" si="2"/>
        <v>30</v>
      </c>
      <c r="K35" s="578"/>
      <c r="L35" s="610"/>
      <c r="M35" s="189"/>
      <c r="N35" s="229">
        <v>12</v>
      </c>
      <c r="O35" s="229">
        <v>2</v>
      </c>
      <c r="P35" s="229"/>
      <c r="Q35" s="229"/>
      <c r="R35" s="229"/>
      <c r="S35" s="7">
        <f t="shared" si="1"/>
        <v>14</v>
      </c>
      <c r="T35" s="7">
        <f t="shared" si="3"/>
        <v>29</v>
      </c>
      <c r="U35" s="578"/>
      <c r="V35" s="603"/>
    </row>
    <row r="36" spans="1:26">
      <c r="A36" s="81">
        <v>0.38888888888888901</v>
      </c>
      <c r="B36" s="83">
        <v>0.39236111111111099</v>
      </c>
      <c r="C36" s="189"/>
      <c r="D36" s="229">
        <v>10</v>
      </c>
      <c r="E36" s="229"/>
      <c r="F36" s="229">
        <v>1</v>
      </c>
      <c r="G36" s="229"/>
      <c r="H36" s="229"/>
      <c r="I36" s="7">
        <f t="shared" si="0"/>
        <v>11</v>
      </c>
      <c r="J36" s="7">
        <f t="shared" si="2"/>
        <v>29</v>
      </c>
      <c r="K36" s="578"/>
      <c r="L36" s="610"/>
      <c r="M36" s="189"/>
      <c r="N36" s="229">
        <v>5</v>
      </c>
      <c r="O36" s="229">
        <v>1</v>
      </c>
      <c r="P36" s="229"/>
      <c r="Q36" s="229"/>
      <c r="R36" s="229"/>
      <c r="S36" s="7">
        <f t="shared" si="1"/>
        <v>6</v>
      </c>
      <c r="T36" s="7">
        <f t="shared" si="3"/>
        <v>27</v>
      </c>
      <c r="U36" s="578"/>
      <c r="V36" s="603"/>
    </row>
    <row r="37" spans="1:26">
      <c r="A37" s="81">
        <v>0.39236111111111099</v>
      </c>
      <c r="B37" s="82">
        <v>0.39583333333333298</v>
      </c>
      <c r="C37" s="189"/>
      <c r="D37" s="229">
        <v>15</v>
      </c>
      <c r="E37" s="229">
        <v>1</v>
      </c>
      <c r="F37" s="229"/>
      <c r="G37" s="229"/>
      <c r="H37" s="229"/>
      <c r="I37" s="7">
        <f t="shared" si="0"/>
        <v>16</v>
      </c>
      <c r="J37" s="7">
        <f t="shared" si="2"/>
        <v>33</v>
      </c>
      <c r="K37" s="578"/>
      <c r="L37" s="610"/>
      <c r="M37" s="189"/>
      <c r="N37" s="229">
        <v>7</v>
      </c>
      <c r="O37" s="229"/>
      <c r="P37" s="229"/>
      <c r="Q37" s="229"/>
      <c r="R37" s="229"/>
      <c r="S37" s="7">
        <f t="shared" si="1"/>
        <v>7</v>
      </c>
      <c r="T37" s="7">
        <f t="shared" si="3"/>
        <v>27</v>
      </c>
      <c r="U37" s="578"/>
      <c r="V37" s="603"/>
    </row>
    <row r="38" spans="1:26">
      <c r="A38" s="81">
        <v>0.39583333333333298</v>
      </c>
      <c r="B38" s="83">
        <v>0.39930555555555503</v>
      </c>
      <c r="C38" s="189"/>
      <c r="D38" s="229">
        <v>10</v>
      </c>
      <c r="E38" s="229">
        <v>1</v>
      </c>
      <c r="F38" s="229"/>
      <c r="G38" s="229"/>
      <c r="H38" s="229"/>
      <c r="I38" s="7">
        <f t="shared" si="0"/>
        <v>11</v>
      </c>
      <c r="J38" s="7">
        <f t="shared" si="2"/>
        <v>38</v>
      </c>
      <c r="K38" s="578"/>
      <c r="L38" s="610"/>
      <c r="M38" s="189"/>
      <c r="N38" s="229">
        <v>9</v>
      </c>
      <c r="O38" s="229"/>
      <c r="P38" s="229">
        <v>1</v>
      </c>
      <c r="Q38" s="229"/>
      <c r="R38" s="229"/>
      <c r="S38" s="7">
        <f t="shared" si="1"/>
        <v>10</v>
      </c>
      <c r="T38" s="7">
        <f t="shared" si="3"/>
        <v>23</v>
      </c>
      <c r="U38" s="578"/>
      <c r="V38" s="603"/>
    </row>
    <row r="39" spans="1:26">
      <c r="A39" s="81">
        <v>0.39930555555555602</v>
      </c>
      <c r="B39" s="82">
        <v>0.40277777777777801</v>
      </c>
      <c r="C39" s="189"/>
      <c r="D39" s="229">
        <v>12</v>
      </c>
      <c r="E39" s="229"/>
      <c r="F39" s="229"/>
      <c r="G39" s="229"/>
      <c r="H39" s="229"/>
      <c r="I39" s="7">
        <f t="shared" si="0"/>
        <v>12</v>
      </c>
      <c r="J39" s="7">
        <f t="shared" si="2"/>
        <v>39</v>
      </c>
      <c r="K39" s="578"/>
      <c r="L39" s="610"/>
      <c r="M39" s="189"/>
      <c r="N39" s="229">
        <v>11</v>
      </c>
      <c r="O39" s="229">
        <v>2</v>
      </c>
      <c r="P39" s="229"/>
      <c r="Q39" s="229"/>
      <c r="R39" s="229"/>
      <c r="S39" s="7">
        <f t="shared" si="1"/>
        <v>13</v>
      </c>
      <c r="T39" s="7">
        <f t="shared" si="3"/>
        <v>30</v>
      </c>
      <c r="U39" s="578"/>
      <c r="V39" s="603"/>
    </row>
    <row r="40" spans="1:26">
      <c r="A40" s="81">
        <v>0.40277777777777801</v>
      </c>
      <c r="B40" s="83">
        <v>0.40625</v>
      </c>
      <c r="C40" s="189"/>
      <c r="D40" s="229">
        <v>10</v>
      </c>
      <c r="E40" s="229">
        <v>2</v>
      </c>
      <c r="F40" s="229"/>
      <c r="G40" s="229"/>
      <c r="H40" s="229"/>
      <c r="I40" s="7">
        <f t="shared" si="0"/>
        <v>12</v>
      </c>
      <c r="J40" s="7">
        <f t="shared" si="2"/>
        <v>35</v>
      </c>
      <c r="K40" s="578"/>
      <c r="L40" s="610"/>
      <c r="M40" s="189"/>
      <c r="N40" s="229">
        <v>8</v>
      </c>
      <c r="O40" s="229"/>
      <c r="P40" s="229">
        <v>1</v>
      </c>
      <c r="Q40" s="229"/>
      <c r="R40" s="229"/>
      <c r="S40" s="7">
        <f t="shared" si="1"/>
        <v>9</v>
      </c>
      <c r="T40" s="7">
        <f t="shared" si="3"/>
        <v>32</v>
      </c>
      <c r="U40" s="578"/>
      <c r="V40" s="603"/>
    </row>
    <row r="41" spans="1:26">
      <c r="A41" s="81">
        <v>0.40625</v>
      </c>
      <c r="B41" s="82">
        <v>0.40972222222222199</v>
      </c>
      <c r="C41" s="189"/>
      <c r="D41" s="229">
        <v>10</v>
      </c>
      <c r="E41" s="229"/>
      <c r="F41" s="229"/>
      <c r="G41" s="229"/>
      <c r="H41" s="229"/>
      <c r="I41" s="7">
        <f t="shared" si="0"/>
        <v>10</v>
      </c>
      <c r="J41" s="7">
        <f t="shared" si="2"/>
        <v>34</v>
      </c>
      <c r="K41" s="578"/>
      <c r="L41" s="610"/>
      <c r="M41" s="189"/>
      <c r="N41" s="229">
        <v>6</v>
      </c>
      <c r="O41" s="229"/>
      <c r="P41" s="229">
        <v>1</v>
      </c>
      <c r="Q41" s="229"/>
      <c r="R41" s="229"/>
      <c r="S41" s="7">
        <f t="shared" si="1"/>
        <v>7</v>
      </c>
      <c r="T41" s="7">
        <f t="shared" si="3"/>
        <v>29</v>
      </c>
      <c r="U41" s="578"/>
      <c r="V41" s="603"/>
    </row>
    <row r="42" spans="1:26">
      <c r="A42" s="81">
        <v>0.40972222222222199</v>
      </c>
      <c r="B42" s="83">
        <v>0.41319444444444398</v>
      </c>
      <c r="C42" s="189">
        <v>1</v>
      </c>
      <c r="D42" s="229">
        <v>12</v>
      </c>
      <c r="E42" s="229"/>
      <c r="F42" s="229"/>
      <c r="G42" s="229"/>
      <c r="H42" s="229"/>
      <c r="I42" s="7">
        <f t="shared" si="0"/>
        <v>13</v>
      </c>
      <c r="J42" s="7">
        <f t="shared" si="2"/>
        <v>35</v>
      </c>
      <c r="K42" s="578"/>
      <c r="L42" s="610"/>
      <c r="M42" s="189"/>
      <c r="N42" s="229">
        <v>5</v>
      </c>
      <c r="O42" s="229">
        <v>1</v>
      </c>
      <c r="P42" s="229"/>
      <c r="Q42" s="229"/>
      <c r="R42" s="229"/>
      <c r="S42" s="7">
        <f t="shared" si="1"/>
        <v>6</v>
      </c>
      <c r="T42" s="7">
        <f t="shared" si="3"/>
        <v>22</v>
      </c>
      <c r="U42" s="578"/>
      <c r="V42" s="603"/>
    </row>
    <row r="43" spans="1:26" ht="15.75" thickBot="1">
      <c r="A43" s="86">
        <v>0.41319444444444398</v>
      </c>
      <c r="B43" s="87">
        <v>0.41666666666666602</v>
      </c>
      <c r="C43" s="78"/>
      <c r="D43" s="22">
        <v>8</v>
      </c>
      <c r="E43" s="22">
        <v>2</v>
      </c>
      <c r="F43" s="22"/>
      <c r="G43" s="22"/>
      <c r="H43" s="22"/>
      <c r="I43" s="261">
        <f t="shared" si="0"/>
        <v>10</v>
      </c>
      <c r="J43" s="22">
        <f t="shared" si="2"/>
        <v>33</v>
      </c>
      <c r="K43" s="579"/>
      <c r="L43" s="611"/>
      <c r="M43" s="78"/>
      <c r="N43" s="22">
        <v>12</v>
      </c>
      <c r="O43" s="22">
        <v>1</v>
      </c>
      <c r="P43" s="22"/>
      <c r="Q43" s="22"/>
      <c r="R43" s="22"/>
      <c r="S43" s="261">
        <f t="shared" si="1"/>
        <v>13</v>
      </c>
      <c r="T43" s="22">
        <f t="shared" si="3"/>
        <v>26</v>
      </c>
      <c r="U43" s="579"/>
      <c r="V43" s="604"/>
    </row>
    <row r="44" spans="1:26" ht="15" customHeight="1">
      <c r="A44" s="79">
        <v>0.41666666666666702</v>
      </c>
      <c r="B44" s="80">
        <v>0.42013888888888901</v>
      </c>
      <c r="C44" s="174"/>
      <c r="D44" s="25">
        <v>18</v>
      </c>
      <c r="E44" s="6"/>
      <c r="F44" s="25">
        <v>2</v>
      </c>
      <c r="G44" s="25"/>
      <c r="H44" s="25"/>
      <c r="I44" s="68">
        <f t="shared" si="0"/>
        <v>20</v>
      </c>
      <c r="J44" s="6">
        <f t="shared" si="2"/>
        <v>43</v>
      </c>
      <c r="K44" s="577">
        <f>+SUM(I44:I55)</f>
        <v>122</v>
      </c>
      <c r="L44" s="609">
        <f>+K44/(4*MAX(J46:J55))</f>
        <v>0.80263157894736847</v>
      </c>
      <c r="M44" s="174">
        <v>1</v>
      </c>
      <c r="N44" s="25">
        <v>11</v>
      </c>
      <c r="O44" s="25"/>
      <c r="P44" s="25"/>
      <c r="Q44" s="25"/>
      <c r="R44" s="25"/>
      <c r="S44" s="68">
        <f t="shared" si="1"/>
        <v>12</v>
      </c>
      <c r="T44" s="6">
        <f t="shared" si="3"/>
        <v>31</v>
      </c>
      <c r="U44" s="577">
        <f>+SUM(S44:S55)</f>
        <v>124</v>
      </c>
      <c r="V44" s="602">
        <f>+U44/(4*MAX(T46:T55))</f>
        <v>0.83783783783783783</v>
      </c>
      <c r="Y44" s="138">
        <f>SUM(H44:H55)</f>
        <v>0</v>
      </c>
      <c r="Z44" s="138">
        <f>SUM(R44:R55)</f>
        <v>0</v>
      </c>
    </row>
    <row r="45" spans="1:26">
      <c r="A45" s="81">
        <v>0.42013888888888901</v>
      </c>
      <c r="B45" s="82">
        <v>0.42361111111111099</v>
      </c>
      <c r="C45" s="189"/>
      <c r="D45" s="229">
        <v>7</v>
      </c>
      <c r="E45" s="229"/>
      <c r="F45" s="229"/>
      <c r="G45" s="229"/>
      <c r="H45" s="229"/>
      <c r="I45" s="7">
        <f t="shared" si="0"/>
        <v>7</v>
      </c>
      <c r="J45" s="7">
        <f t="shared" si="2"/>
        <v>37</v>
      </c>
      <c r="K45" s="578"/>
      <c r="L45" s="610"/>
      <c r="M45" s="189">
        <v>1</v>
      </c>
      <c r="N45" s="229">
        <v>14</v>
      </c>
      <c r="O45" s="229">
        <v>1</v>
      </c>
      <c r="P45" s="229"/>
      <c r="Q45" s="229"/>
      <c r="R45" s="229"/>
      <c r="S45" s="7">
        <f t="shared" si="1"/>
        <v>16</v>
      </c>
      <c r="T45" s="7">
        <f t="shared" si="3"/>
        <v>41</v>
      </c>
      <c r="U45" s="578"/>
      <c r="V45" s="603"/>
    </row>
    <row r="46" spans="1:26">
      <c r="A46" s="81">
        <v>0.42361111111111099</v>
      </c>
      <c r="B46" s="83">
        <v>0.42708333333333298</v>
      </c>
      <c r="C46" s="189"/>
      <c r="D46" s="229">
        <v>5</v>
      </c>
      <c r="E46" s="229">
        <v>2</v>
      </c>
      <c r="F46" s="229"/>
      <c r="G46" s="229"/>
      <c r="H46" s="229"/>
      <c r="I46" s="7">
        <f t="shared" si="0"/>
        <v>7</v>
      </c>
      <c r="J46" s="7">
        <f t="shared" si="2"/>
        <v>34</v>
      </c>
      <c r="K46" s="578"/>
      <c r="L46" s="610"/>
      <c r="M46" s="189"/>
      <c r="N46" s="229">
        <v>6</v>
      </c>
      <c r="O46" s="229"/>
      <c r="P46" s="229"/>
      <c r="Q46" s="229"/>
      <c r="R46" s="229"/>
      <c r="S46" s="7">
        <f t="shared" si="1"/>
        <v>6</v>
      </c>
      <c r="T46" s="7">
        <f t="shared" si="3"/>
        <v>34</v>
      </c>
      <c r="U46" s="578"/>
      <c r="V46" s="603"/>
    </row>
    <row r="47" spans="1:26">
      <c r="A47" s="81">
        <v>0.42708333333333298</v>
      </c>
      <c r="B47" s="82">
        <v>0.43055555555555503</v>
      </c>
      <c r="C47" s="189"/>
      <c r="D47" s="229">
        <v>4</v>
      </c>
      <c r="E47" s="229"/>
      <c r="F47" s="229"/>
      <c r="G47" s="229"/>
      <c r="H47" s="229"/>
      <c r="I47" s="7">
        <f t="shared" si="0"/>
        <v>4</v>
      </c>
      <c r="J47" s="7">
        <f t="shared" si="2"/>
        <v>18</v>
      </c>
      <c r="K47" s="578"/>
      <c r="L47" s="610"/>
      <c r="M47" s="189">
        <v>1</v>
      </c>
      <c r="N47" s="229">
        <v>8</v>
      </c>
      <c r="O47" s="229">
        <v>1</v>
      </c>
      <c r="P47" s="229"/>
      <c r="Q47" s="229"/>
      <c r="R47" s="229"/>
      <c r="S47" s="7">
        <f t="shared" si="1"/>
        <v>10</v>
      </c>
      <c r="T47" s="7">
        <f t="shared" si="3"/>
        <v>32</v>
      </c>
      <c r="U47" s="578"/>
      <c r="V47" s="603"/>
    </row>
    <row r="48" spans="1:26">
      <c r="A48" s="81">
        <v>0.43055555555555503</v>
      </c>
      <c r="B48" s="83">
        <v>0.43402777777777701</v>
      </c>
      <c r="C48" s="189"/>
      <c r="D48" s="229">
        <v>13</v>
      </c>
      <c r="E48" s="229"/>
      <c r="F48" s="229"/>
      <c r="G48" s="229"/>
      <c r="H48" s="229"/>
      <c r="I48" s="7">
        <f t="shared" si="0"/>
        <v>13</v>
      </c>
      <c r="J48" s="7">
        <f t="shared" si="2"/>
        <v>24</v>
      </c>
      <c r="K48" s="578"/>
      <c r="L48" s="610"/>
      <c r="M48" s="189"/>
      <c r="N48" s="229">
        <v>12</v>
      </c>
      <c r="O48" s="229">
        <v>1</v>
      </c>
      <c r="P48" s="229"/>
      <c r="Q48" s="229"/>
      <c r="R48" s="229"/>
      <c r="S48" s="7">
        <f t="shared" si="1"/>
        <v>13</v>
      </c>
      <c r="T48" s="7">
        <f t="shared" si="3"/>
        <v>29</v>
      </c>
      <c r="U48" s="578"/>
      <c r="V48" s="603"/>
    </row>
    <row r="49" spans="1:26">
      <c r="A49" s="81">
        <v>0.43402777777777801</v>
      </c>
      <c r="B49" s="82">
        <v>0.4375</v>
      </c>
      <c r="C49" s="189"/>
      <c r="D49" s="229">
        <v>5</v>
      </c>
      <c r="E49" s="229">
        <v>2</v>
      </c>
      <c r="F49" s="229">
        <v>1</v>
      </c>
      <c r="G49" s="229"/>
      <c r="H49" s="229"/>
      <c r="I49" s="7">
        <f t="shared" si="0"/>
        <v>8</v>
      </c>
      <c r="J49" s="7">
        <f t="shared" si="2"/>
        <v>25</v>
      </c>
      <c r="K49" s="578"/>
      <c r="L49" s="610"/>
      <c r="M49" s="189"/>
      <c r="N49" s="229">
        <v>10</v>
      </c>
      <c r="O49" s="229"/>
      <c r="P49" s="229"/>
      <c r="Q49" s="229"/>
      <c r="R49" s="229"/>
      <c r="S49" s="7">
        <f t="shared" si="1"/>
        <v>10</v>
      </c>
      <c r="T49" s="7">
        <f t="shared" si="3"/>
        <v>33</v>
      </c>
      <c r="U49" s="578"/>
      <c r="V49" s="603"/>
    </row>
    <row r="50" spans="1:26">
      <c r="A50" s="81">
        <v>0.4375</v>
      </c>
      <c r="B50" s="83">
        <v>0.44097222222222199</v>
      </c>
      <c r="C50" s="189">
        <v>1</v>
      </c>
      <c r="D50" s="229">
        <v>10</v>
      </c>
      <c r="E50" s="229"/>
      <c r="F50" s="229">
        <v>1</v>
      </c>
      <c r="G50" s="229"/>
      <c r="H50" s="229"/>
      <c r="I50" s="7">
        <f t="shared" si="0"/>
        <v>12</v>
      </c>
      <c r="J50" s="7">
        <f t="shared" si="2"/>
        <v>33</v>
      </c>
      <c r="K50" s="578"/>
      <c r="L50" s="610"/>
      <c r="M50" s="189"/>
      <c r="N50" s="229">
        <v>13</v>
      </c>
      <c r="O50" s="229"/>
      <c r="P50" s="229"/>
      <c r="Q50" s="229"/>
      <c r="R50" s="229"/>
      <c r="S50" s="7">
        <f t="shared" si="1"/>
        <v>13</v>
      </c>
      <c r="T50" s="7">
        <f t="shared" si="3"/>
        <v>36</v>
      </c>
      <c r="U50" s="578"/>
      <c r="V50" s="603"/>
    </row>
    <row r="51" spans="1:26">
      <c r="A51" s="81">
        <v>0.44097222222222199</v>
      </c>
      <c r="B51" s="82">
        <v>0.44444444444444398</v>
      </c>
      <c r="C51" s="189"/>
      <c r="D51" s="229">
        <v>15</v>
      </c>
      <c r="E51" s="229"/>
      <c r="F51" s="229">
        <v>1</v>
      </c>
      <c r="G51" s="229"/>
      <c r="H51" s="229"/>
      <c r="I51" s="7">
        <f t="shared" si="0"/>
        <v>16</v>
      </c>
      <c r="J51" s="7">
        <f t="shared" si="2"/>
        <v>36</v>
      </c>
      <c r="K51" s="578"/>
      <c r="L51" s="610"/>
      <c r="M51" s="189"/>
      <c r="N51" s="229">
        <v>10</v>
      </c>
      <c r="O51" s="229">
        <v>2</v>
      </c>
      <c r="P51" s="229"/>
      <c r="Q51" s="229"/>
      <c r="R51" s="229"/>
      <c r="S51" s="7">
        <f t="shared" si="1"/>
        <v>12</v>
      </c>
      <c r="T51" s="7">
        <f t="shared" si="3"/>
        <v>35</v>
      </c>
      <c r="U51" s="578"/>
      <c r="V51" s="603"/>
    </row>
    <row r="52" spans="1:26">
      <c r="A52" s="81">
        <v>0.44444444444444398</v>
      </c>
      <c r="B52" s="83">
        <v>0.44791666666666602</v>
      </c>
      <c r="C52" s="189"/>
      <c r="D52" s="229">
        <v>8</v>
      </c>
      <c r="E52" s="229">
        <v>2</v>
      </c>
      <c r="F52" s="229"/>
      <c r="G52" s="229"/>
      <c r="H52" s="229"/>
      <c r="I52" s="7">
        <f t="shared" si="0"/>
        <v>10</v>
      </c>
      <c r="J52" s="7">
        <f t="shared" si="2"/>
        <v>38</v>
      </c>
      <c r="K52" s="578"/>
      <c r="L52" s="610"/>
      <c r="M52" s="189">
        <v>1</v>
      </c>
      <c r="N52" s="229">
        <v>11</v>
      </c>
      <c r="O52" s="229"/>
      <c r="P52" s="229"/>
      <c r="Q52" s="229"/>
      <c r="R52" s="229"/>
      <c r="S52" s="7">
        <f t="shared" si="1"/>
        <v>12</v>
      </c>
      <c r="T52" s="7">
        <f t="shared" si="3"/>
        <v>37</v>
      </c>
      <c r="U52" s="578"/>
      <c r="V52" s="603"/>
    </row>
    <row r="53" spans="1:26">
      <c r="A53" s="81">
        <v>0.44791666666666602</v>
      </c>
      <c r="B53" s="82">
        <v>0.45138888888888801</v>
      </c>
      <c r="C53" s="189"/>
      <c r="D53" s="229">
        <v>9</v>
      </c>
      <c r="E53" s="229"/>
      <c r="F53" s="229"/>
      <c r="G53" s="229"/>
      <c r="H53" s="229"/>
      <c r="I53" s="7">
        <f t="shared" si="0"/>
        <v>9</v>
      </c>
      <c r="J53" s="7">
        <f t="shared" si="2"/>
        <v>35</v>
      </c>
      <c r="K53" s="578"/>
      <c r="L53" s="610"/>
      <c r="M53" s="189"/>
      <c r="N53" s="229">
        <v>5</v>
      </c>
      <c r="O53" s="229">
        <v>1</v>
      </c>
      <c r="P53" s="229"/>
      <c r="Q53" s="229"/>
      <c r="R53" s="229"/>
      <c r="S53" s="7">
        <f t="shared" si="1"/>
        <v>6</v>
      </c>
      <c r="T53" s="7">
        <f t="shared" si="3"/>
        <v>30</v>
      </c>
      <c r="U53" s="578"/>
      <c r="V53" s="603"/>
    </row>
    <row r="54" spans="1:26">
      <c r="A54" s="81">
        <v>0.45138888888888901</v>
      </c>
      <c r="B54" s="83">
        <v>0.45486111111111099</v>
      </c>
      <c r="C54" s="189"/>
      <c r="D54" s="229">
        <v>7</v>
      </c>
      <c r="E54" s="229">
        <v>1</v>
      </c>
      <c r="F54" s="229"/>
      <c r="G54" s="229"/>
      <c r="H54" s="229"/>
      <c r="I54" s="7">
        <f t="shared" si="0"/>
        <v>8</v>
      </c>
      <c r="J54" s="7">
        <f t="shared" si="2"/>
        <v>27</v>
      </c>
      <c r="K54" s="578"/>
      <c r="L54" s="610"/>
      <c r="M54" s="189"/>
      <c r="N54" s="229">
        <v>7</v>
      </c>
      <c r="O54" s="229"/>
      <c r="P54" s="229"/>
      <c r="Q54" s="229"/>
      <c r="R54" s="229"/>
      <c r="S54" s="7">
        <f t="shared" si="1"/>
        <v>7</v>
      </c>
      <c r="T54" s="7">
        <f t="shared" si="3"/>
        <v>25</v>
      </c>
      <c r="U54" s="578"/>
      <c r="V54" s="603"/>
    </row>
    <row r="55" spans="1:26" ht="15.75" thickBot="1">
      <c r="A55" s="86">
        <v>0.45486111111111099</v>
      </c>
      <c r="B55" s="87">
        <v>0.45833333333333298</v>
      </c>
      <c r="C55" s="179"/>
      <c r="D55" s="31">
        <v>6</v>
      </c>
      <c r="E55" s="31">
        <v>1</v>
      </c>
      <c r="F55" s="31">
        <v>1</v>
      </c>
      <c r="G55" s="31"/>
      <c r="H55" s="31"/>
      <c r="I55" s="261">
        <f t="shared" si="0"/>
        <v>8</v>
      </c>
      <c r="J55" s="32">
        <f t="shared" si="2"/>
        <v>25</v>
      </c>
      <c r="K55" s="579"/>
      <c r="L55" s="611"/>
      <c r="M55" s="179">
        <v>1</v>
      </c>
      <c r="N55" s="31">
        <v>5</v>
      </c>
      <c r="O55" s="31">
        <v>1</v>
      </c>
      <c r="P55" s="31"/>
      <c r="Q55" s="31"/>
      <c r="R55" s="31"/>
      <c r="S55" s="261">
        <f t="shared" si="1"/>
        <v>7</v>
      </c>
      <c r="T55" s="32">
        <f t="shared" si="3"/>
        <v>20</v>
      </c>
      <c r="U55" s="579"/>
      <c r="V55" s="604"/>
    </row>
    <row r="56" spans="1:26">
      <c r="A56" s="79">
        <v>0.45833333333333298</v>
      </c>
      <c r="B56" s="80">
        <v>0.46180555555555503</v>
      </c>
      <c r="C56" s="157"/>
      <c r="D56" s="152">
        <v>9</v>
      </c>
      <c r="E56" s="152"/>
      <c r="F56" s="152"/>
      <c r="G56" s="152"/>
      <c r="H56" s="152"/>
      <c r="I56" s="68">
        <f t="shared" si="0"/>
        <v>9</v>
      </c>
      <c r="J56" s="5">
        <f t="shared" si="2"/>
        <v>25</v>
      </c>
      <c r="K56" s="577">
        <f>+SUM(I56:I67)</f>
        <v>131</v>
      </c>
      <c r="L56" s="609">
        <f>+K56/(4*MAX(J58:J67))</f>
        <v>0.88513513513513509</v>
      </c>
      <c r="M56" s="157"/>
      <c r="N56" s="152">
        <v>7</v>
      </c>
      <c r="O56" s="152"/>
      <c r="P56" s="152"/>
      <c r="Q56" s="152"/>
      <c r="R56" s="152"/>
      <c r="S56" s="68">
        <f t="shared" si="1"/>
        <v>7</v>
      </c>
      <c r="T56" s="5">
        <f t="shared" si="3"/>
        <v>21</v>
      </c>
      <c r="U56" s="577">
        <f>+SUM(S56:S67)</f>
        <v>103</v>
      </c>
      <c r="V56" s="602">
        <f>+U56/(4*MAX(T58:T67))</f>
        <v>0.8046875</v>
      </c>
      <c r="Y56" s="138">
        <f>SUM(H56:H67)</f>
        <v>0</v>
      </c>
      <c r="Z56" s="138">
        <f>SUM(R56:R67)</f>
        <v>0</v>
      </c>
    </row>
    <row r="57" spans="1:26">
      <c r="A57" s="81">
        <v>0.46180555555555503</v>
      </c>
      <c r="B57" s="82">
        <v>0.46527777777777701</v>
      </c>
      <c r="C57" s="189"/>
      <c r="D57" s="229">
        <v>12</v>
      </c>
      <c r="E57" s="229">
        <v>1</v>
      </c>
      <c r="F57" s="229"/>
      <c r="G57" s="229"/>
      <c r="H57" s="229"/>
      <c r="I57" s="7">
        <f t="shared" si="0"/>
        <v>13</v>
      </c>
      <c r="J57" s="7">
        <f t="shared" si="2"/>
        <v>30</v>
      </c>
      <c r="K57" s="578"/>
      <c r="L57" s="610"/>
      <c r="M57" s="189"/>
      <c r="N57" s="229">
        <v>7</v>
      </c>
      <c r="O57" s="229">
        <v>1</v>
      </c>
      <c r="P57" s="229"/>
      <c r="Q57" s="229"/>
      <c r="R57" s="229"/>
      <c r="S57" s="7">
        <f t="shared" si="1"/>
        <v>8</v>
      </c>
      <c r="T57" s="7">
        <f t="shared" si="3"/>
        <v>22</v>
      </c>
      <c r="U57" s="578"/>
      <c r="V57" s="603"/>
    </row>
    <row r="58" spans="1:26">
      <c r="A58" s="81">
        <v>0.46527777777777701</v>
      </c>
      <c r="B58" s="83">
        <v>0.468749999999999</v>
      </c>
      <c r="C58" s="189"/>
      <c r="D58" s="229">
        <v>12</v>
      </c>
      <c r="E58" s="229">
        <v>1</v>
      </c>
      <c r="F58" s="229"/>
      <c r="G58" s="229"/>
      <c r="H58" s="229"/>
      <c r="I58" s="7">
        <f t="shared" si="0"/>
        <v>13</v>
      </c>
      <c r="J58" s="7">
        <f t="shared" si="2"/>
        <v>35</v>
      </c>
      <c r="K58" s="578"/>
      <c r="L58" s="610"/>
      <c r="M58" s="189">
        <v>1</v>
      </c>
      <c r="N58" s="229">
        <v>6</v>
      </c>
      <c r="O58" s="229"/>
      <c r="P58" s="229"/>
      <c r="Q58" s="229"/>
      <c r="R58" s="229"/>
      <c r="S58" s="7">
        <f t="shared" si="1"/>
        <v>7</v>
      </c>
      <c r="T58" s="7">
        <f t="shared" si="3"/>
        <v>22</v>
      </c>
      <c r="U58" s="578"/>
      <c r="V58" s="603"/>
    </row>
    <row r="59" spans="1:26">
      <c r="A59" s="81">
        <v>0.46875</v>
      </c>
      <c r="B59" s="82">
        <v>0.47222222222222199</v>
      </c>
      <c r="C59" s="189"/>
      <c r="D59" s="229">
        <v>6</v>
      </c>
      <c r="E59" s="229"/>
      <c r="F59" s="229"/>
      <c r="G59" s="229"/>
      <c r="H59" s="229"/>
      <c r="I59" s="7">
        <f t="shared" si="0"/>
        <v>6</v>
      </c>
      <c r="J59" s="7">
        <f t="shared" si="2"/>
        <v>32</v>
      </c>
      <c r="K59" s="578"/>
      <c r="L59" s="610"/>
      <c r="M59" s="189"/>
      <c r="N59" s="229">
        <v>12</v>
      </c>
      <c r="O59" s="229">
        <v>2</v>
      </c>
      <c r="P59" s="229"/>
      <c r="Q59" s="229"/>
      <c r="R59" s="229"/>
      <c r="S59" s="7">
        <f t="shared" si="1"/>
        <v>14</v>
      </c>
      <c r="T59" s="7">
        <f t="shared" si="3"/>
        <v>29</v>
      </c>
      <c r="U59" s="578"/>
      <c r="V59" s="603"/>
    </row>
    <row r="60" spans="1:26">
      <c r="A60" s="81">
        <v>0.47222222222222199</v>
      </c>
      <c r="B60" s="83">
        <v>0.47569444444444398</v>
      </c>
      <c r="C60" s="189"/>
      <c r="D60" s="229">
        <v>11</v>
      </c>
      <c r="E60" s="229"/>
      <c r="F60" s="229">
        <v>1</v>
      </c>
      <c r="G60" s="229"/>
      <c r="H60" s="229"/>
      <c r="I60" s="7">
        <f t="shared" si="0"/>
        <v>12</v>
      </c>
      <c r="J60" s="7">
        <f t="shared" si="2"/>
        <v>31</v>
      </c>
      <c r="K60" s="578"/>
      <c r="L60" s="610"/>
      <c r="M60" s="189"/>
      <c r="N60" s="229">
        <v>5</v>
      </c>
      <c r="O60" s="229">
        <v>1</v>
      </c>
      <c r="P60" s="229"/>
      <c r="Q60" s="229"/>
      <c r="R60" s="229"/>
      <c r="S60" s="7">
        <f t="shared" si="1"/>
        <v>6</v>
      </c>
      <c r="T60" s="7">
        <f t="shared" si="3"/>
        <v>27</v>
      </c>
      <c r="U60" s="578"/>
      <c r="V60" s="603"/>
    </row>
    <row r="61" spans="1:26">
      <c r="A61" s="81">
        <v>0.47569444444444398</v>
      </c>
      <c r="B61" s="82">
        <v>0.47916666666666602</v>
      </c>
      <c r="C61" s="189"/>
      <c r="D61" s="229">
        <v>7</v>
      </c>
      <c r="E61" s="229">
        <v>1</v>
      </c>
      <c r="F61" s="229"/>
      <c r="G61" s="229"/>
      <c r="H61" s="229"/>
      <c r="I61" s="7">
        <f t="shared" si="0"/>
        <v>8</v>
      </c>
      <c r="J61" s="7">
        <f t="shared" si="2"/>
        <v>26</v>
      </c>
      <c r="K61" s="578"/>
      <c r="L61" s="610"/>
      <c r="M61" s="189"/>
      <c r="N61" s="229">
        <v>7</v>
      </c>
      <c r="O61" s="229"/>
      <c r="P61" s="229"/>
      <c r="Q61" s="229"/>
      <c r="R61" s="229"/>
      <c r="S61" s="7">
        <f t="shared" si="1"/>
        <v>7</v>
      </c>
      <c r="T61" s="7">
        <f t="shared" si="3"/>
        <v>27</v>
      </c>
      <c r="U61" s="578"/>
      <c r="V61" s="603"/>
    </row>
    <row r="62" spans="1:26">
      <c r="A62" s="81">
        <v>0.47916666666666602</v>
      </c>
      <c r="B62" s="83">
        <v>0.48263888888888801</v>
      </c>
      <c r="C62" s="189">
        <v>1</v>
      </c>
      <c r="D62" s="229">
        <v>11</v>
      </c>
      <c r="E62" s="229">
        <v>1</v>
      </c>
      <c r="F62" s="229"/>
      <c r="G62" s="229"/>
      <c r="H62" s="229"/>
      <c r="I62" s="7">
        <f t="shared" si="0"/>
        <v>13</v>
      </c>
      <c r="J62" s="7">
        <f t="shared" si="2"/>
        <v>33</v>
      </c>
      <c r="K62" s="578"/>
      <c r="L62" s="610"/>
      <c r="M62" s="189"/>
      <c r="N62" s="229">
        <v>9</v>
      </c>
      <c r="O62" s="229"/>
      <c r="P62" s="229">
        <v>1</v>
      </c>
      <c r="Q62" s="229"/>
      <c r="R62" s="229"/>
      <c r="S62" s="7">
        <f t="shared" si="1"/>
        <v>10</v>
      </c>
      <c r="T62" s="7">
        <f t="shared" si="3"/>
        <v>23</v>
      </c>
      <c r="U62" s="578"/>
      <c r="V62" s="603"/>
    </row>
    <row r="63" spans="1:26">
      <c r="A63" s="81">
        <v>0.48263888888888901</v>
      </c>
      <c r="B63" s="82">
        <v>0.48611111111111099</v>
      </c>
      <c r="C63" s="189"/>
      <c r="D63" s="229">
        <v>12</v>
      </c>
      <c r="E63" s="229"/>
      <c r="F63" s="229"/>
      <c r="G63" s="229"/>
      <c r="H63" s="229"/>
      <c r="I63" s="7">
        <f t="shared" si="0"/>
        <v>12</v>
      </c>
      <c r="J63" s="7">
        <f t="shared" si="2"/>
        <v>33</v>
      </c>
      <c r="K63" s="578"/>
      <c r="L63" s="610"/>
      <c r="M63" s="189"/>
      <c r="N63" s="229">
        <v>11</v>
      </c>
      <c r="O63" s="229">
        <v>2</v>
      </c>
      <c r="P63" s="229"/>
      <c r="Q63" s="229"/>
      <c r="R63" s="229"/>
      <c r="S63" s="7">
        <f t="shared" si="1"/>
        <v>13</v>
      </c>
      <c r="T63" s="7">
        <f t="shared" si="3"/>
        <v>30</v>
      </c>
      <c r="U63" s="578"/>
      <c r="V63" s="603"/>
    </row>
    <row r="64" spans="1:26">
      <c r="A64" s="81">
        <v>0.48611111111111099</v>
      </c>
      <c r="B64" s="83">
        <v>0.48958333333333298</v>
      </c>
      <c r="C64" s="189"/>
      <c r="D64" s="229">
        <v>10</v>
      </c>
      <c r="E64" s="229">
        <v>2</v>
      </c>
      <c r="F64" s="229"/>
      <c r="G64" s="229"/>
      <c r="H64" s="229"/>
      <c r="I64" s="7">
        <f t="shared" si="0"/>
        <v>12</v>
      </c>
      <c r="J64" s="7">
        <f t="shared" si="2"/>
        <v>37</v>
      </c>
      <c r="K64" s="578"/>
      <c r="L64" s="610"/>
      <c r="M64" s="189"/>
      <c r="N64" s="229">
        <v>8</v>
      </c>
      <c r="O64" s="229"/>
      <c r="P64" s="229">
        <v>1</v>
      </c>
      <c r="Q64" s="229"/>
      <c r="R64" s="229"/>
      <c r="S64" s="7">
        <f t="shared" si="1"/>
        <v>9</v>
      </c>
      <c r="T64" s="7">
        <f t="shared" si="3"/>
        <v>32</v>
      </c>
      <c r="U64" s="578"/>
      <c r="V64" s="603"/>
    </row>
    <row r="65" spans="1:26">
      <c r="A65" s="81">
        <v>0.48958333333333298</v>
      </c>
      <c r="B65" s="82">
        <v>0.49305555555555503</v>
      </c>
      <c r="C65" s="189"/>
      <c r="D65" s="229">
        <v>10</v>
      </c>
      <c r="E65" s="229"/>
      <c r="F65" s="229"/>
      <c r="G65" s="229"/>
      <c r="H65" s="229"/>
      <c r="I65" s="7">
        <f t="shared" si="0"/>
        <v>10</v>
      </c>
      <c r="J65" s="7">
        <f t="shared" si="2"/>
        <v>34</v>
      </c>
      <c r="K65" s="578"/>
      <c r="L65" s="610"/>
      <c r="M65" s="189"/>
      <c r="N65" s="229">
        <v>6</v>
      </c>
      <c r="O65" s="229"/>
      <c r="P65" s="229">
        <v>1</v>
      </c>
      <c r="Q65" s="229"/>
      <c r="R65" s="229"/>
      <c r="S65" s="7">
        <f t="shared" si="1"/>
        <v>7</v>
      </c>
      <c r="T65" s="7">
        <f t="shared" si="3"/>
        <v>29</v>
      </c>
      <c r="U65" s="578"/>
      <c r="V65" s="603"/>
    </row>
    <row r="66" spans="1:26">
      <c r="A66" s="81">
        <v>0.49305555555555503</v>
      </c>
      <c r="B66" s="83">
        <v>0.49652777777777701</v>
      </c>
      <c r="C66" s="189">
        <v>1</v>
      </c>
      <c r="D66" s="229">
        <v>12</v>
      </c>
      <c r="E66" s="229">
        <v>1</v>
      </c>
      <c r="F66" s="229"/>
      <c r="G66" s="229"/>
      <c r="H66" s="229"/>
      <c r="I66" s="7">
        <f t="shared" si="0"/>
        <v>14</v>
      </c>
      <c r="J66" s="7">
        <f t="shared" si="2"/>
        <v>36</v>
      </c>
      <c r="K66" s="578"/>
      <c r="L66" s="610"/>
      <c r="M66" s="189"/>
      <c r="N66" s="229">
        <v>5</v>
      </c>
      <c r="O66" s="229">
        <v>1</v>
      </c>
      <c r="P66" s="229"/>
      <c r="Q66" s="229"/>
      <c r="R66" s="229"/>
      <c r="S66" s="7">
        <f t="shared" si="1"/>
        <v>6</v>
      </c>
      <c r="T66" s="7">
        <f t="shared" si="3"/>
        <v>22</v>
      </c>
      <c r="U66" s="578"/>
      <c r="V66" s="603"/>
    </row>
    <row r="67" spans="1:26" ht="15.75" thickBot="1">
      <c r="A67" s="84">
        <v>0.49652777777777701</v>
      </c>
      <c r="B67" s="85">
        <v>0.499999999999999</v>
      </c>
      <c r="C67" s="190"/>
      <c r="D67" s="155">
        <v>7</v>
      </c>
      <c r="E67" s="155">
        <v>1</v>
      </c>
      <c r="F67" s="155">
        <v>1</v>
      </c>
      <c r="G67" s="155"/>
      <c r="H67" s="155"/>
      <c r="I67" s="261">
        <f t="shared" si="0"/>
        <v>9</v>
      </c>
      <c r="J67" s="22">
        <f t="shared" si="2"/>
        <v>33</v>
      </c>
      <c r="K67" s="579"/>
      <c r="L67" s="611"/>
      <c r="M67" s="190">
        <v>1</v>
      </c>
      <c r="N67" s="155">
        <v>7</v>
      </c>
      <c r="O67" s="155">
        <v>1</v>
      </c>
      <c r="P67" s="155"/>
      <c r="Q67" s="155"/>
      <c r="R67" s="155"/>
      <c r="S67" s="261">
        <f t="shared" si="1"/>
        <v>9</v>
      </c>
      <c r="T67" s="22">
        <f t="shared" si="3"/>
        <v>22</v>
      </c>
      <c r="U67" s="579"/>
      <c r="V67" s="604"/>
    </row>
    <row r="68" spans="1:26">
      <c r="A68" s="81">
        <v>0.5</v>
      </c>
      <c r="B68" s="83">
        <v>0.50347222222222199</v>
      </c>
      <c r="C68" s="174">
        <v>1</v>
      </c>
      <c r="D68" s="25">
        <v>15</v>
      </c>
      <c r="E68" s="25"/>
      <c r="F68" s="25">
        <v>1</v>
      </c>
      <c r="G68" s="25"/>
      <c r="H68" s="25"/>
      <c r="I68" s="68">
        <f t="shared" si="0"/>
        <v>17</v>
      </c>
      <c r="J68" s="6">
        <f t="shared" si="2"/>
        <v>40</v>
      </c>
      <c r="K68" s="577">
        <f>+SUM(I68:I79)</f>
        <v>166</v>
      </c>
      <c r="L68" s="609">
        <f>+K68/(4*MAX(J70:J79))</f>
        <v>0.84693877551020413</v>
      </c>
      <c r="M68" s="174"/>
      <c r="N68" s="26">
        <v>7</v>
      </c>
      <c r="O68" s="25">
        <v>1</v>
      </c>
      <c r="P68" s="25">
        <v>1</v>
      </c>
      <c r="Q68" s="25"/>
      <c r="R68" s="25"/>
      <c r="S68" s="68">
        <f t="shared" si="1"/>
        <v>9</v>
      </c>
      <c r="T68" s="261">
        <f t="shared" si="3"/>
        <v>24</v>
      </c>
      <c r="U68" s="577">
        <f>+SUM(S68:S79)</f>
        <v>116</v>
      </c>
      <c r="V68" s="602">
        <f>+U68/(4*MAX(T70:T79))</f>
        <v>0.76315789473684215</v>
      </c>
      <c r="Y68" s="138">
        <f>SUM(H68:H79)</f>
        <v>0</v>
      </c>
      <c r="Z68" s="138">
        <f>SUM(R68:R79)</f>
        <v>0</v>
      </c>
    </row>
    <row r="69" spans="1:26">
      <c r="A69" s="81">
        <v>0.50347222222222199</v>
      </c>
      <c r="B69" s="82">
        <v>0.50694444444444398</v>
      </c>
      <c r="C69" s="189"/>
      <c r="D69" s="229">
        <v>9</v>
      </c>
      <c r="E69" s="229">
        <v>1</v>
      </c>
      <c r="F69" s="229"/>
      <c r="G69" s="229"/>
      <c r="H69" s="229"/>
      <c r="I69" s="7">
        <f t="shared" si="0"/>
        <v>10</v>
      </c>
      <c r="J69" s="7">
        <f t="shared" si="2"/>
        <v>36</v>
      </c>
      <c r="K69" s="578"/>
      <c r="L69" s="610"/>
      <c r="M69" s="189"/>
      <c r="N69" s="229">
        <v>6</v>
      </c>
      <c r="O69" s="229"/>
      <c r="P69" s="229">
        <v>1</v>
      </c>
      <c r="Q69" s="229"/>
      <c r="R69" s="229"/>
      <c r="S69" s="7">
        <f t="shared" si="1"/>
        <v>7</v>
      </c>
      <c r="T69" s="7">
        <f t="shared" si="3"/>
        <v>25</v>
      </c>
      <c r="U69" s="578"/>
      <c r="V69" s="603"/>
    </row>
    <row r="70" spans="1:26">
      <c r="A70" s="81">
        <v>0.50694444444444398</v>
      </c>
      <c r="B70" s="83">
        <v>0.51041666666666596</v>
      </c>
      <c r="C70" s="189"/>
      <c r="D70" s="229">
        <v>10</v>
      </c>
      <c r="E70" s="229">
        <v>1</v>
      </c>
      <c r="F70" s="229">
        <v>1</v>
      </c>
      <c r="G70" s="229"/>
      <c r="H70" s="229"/>
      <c r="I70" s="7">
        <f t="shared" si="0"/>
        <v>12</v>
      </c>
      <c r="J70" s="7">
        <f t="shared" si="2"/>
        <v>39</v>
      </c>
      <c r="K70" s="578"/>
      <c r="L70" s="610"/>
      <c r="M70" s="189"/>
      <c r="N70" s="229">
        <v>7</v>
      </c>
      <c r="O70" s="229"/>
      <c r="P70" s="229"/>
      <c r="Q70" s="229"/>
      <c r="R70" s="229"/>
      <c r="S70" s="7">
        <f t="shared" si="1"/>
        <v>7</v>
      </c>
      <c r="T70" s="7">
        <f t="shared" si="3"/>
        <v>23</v>
      </c>
      <c r="U70" s="578"/>
      <c r="V70" s="603"/>
    </row>
    <row r="71" spans="1:26">
      <c r="A71" s="81">
        <v>0.51041666666666596</v>
      </c>
      <c r="B71" s="82">
        <v>0.51388888888888795</v>
      </c>
      <c r="C71" s="189"/>
      <c r="D71" s="229">
        <v>13</v>
      </c>
      <c r="E71" s="229"/>
      <c r="F71" s="229">
        <v>1</v>
      </c>
      <c r="G71" s="229"/>
      <c r="H71" s="229"/>
      <c r="I71" s="7">
        <f t="shared" si="0"/>
        <v>14</v>
      </c>
      <c r="J71" s="7">
        <f t="shared" si="2"/>
        <v>36</v>
      </c>
      <c r="K71" s="578"/>
      <c r="L71" s="610"/>
      <c r="M71" s="189">
        <v>1</v>
      </c>
      <c r="N71" s="229">
        <v>6</v>
      </c>
      <c r="O71" s="229">
        <v>1</v>
      </c>
      <c r="P71" s="229"/>
      <c r="Q71" s="229"/>
      <c r="R71" s="229"/>
      <c r="S71" s="7">
        <f t="shared" si="1"/>
        <v>8</v>
      </c>
      <c r="T71" s="7">
        <f t="shared" si="3"/>
        <v>22</v>
      </c>
      <c r="U71" s="578"/>
      <c r="V71" s="603"/>
    </row>
    <row r="72" spans="1:26">
      <c r="A72" s="81">
        <v>0.51388888888888795</v>
      </c>
      <c r="B72" s="83">
        <v>0.51736111111111005</v>
      </c>
      <c r="C72" s="189"/>
      <c r="D72" s="229">
        <v>7</v>
      </c>
      <c r="E72" s="229"/>
      <c r="F72" s="229">
        <v>1</v>
      </c>
      <c r="G72" s="229"/>
      <c r="H72" s="229"/>
      <c r="I72" s="7">
        <f t="shared" si="0"/>
        <v>8</v>
      </c>
      <c r="J72" s="7">
        <f t="shared" si="2"/>
        <v>34</v>
      </c>
      <c r="K72" s="578"/>
      <c r="L72" s="610"/>
      <c r="M72" s="189"/>
      <c r="N72" s="229">
        <v>8</v>
      </c>
      <c r="O72" s="229">
        <v>1</v>
      </c>
      <c r="P72" s="229"/>
      <c r="Q72" s="229"/>
      <c r="R72" s="229"/>
      <c r="S72" s="7">
        <f t="shared" si="1"/>
        <v>9</v>
      </c>
      <c r="T72" s="7">
        <f t="shared" si="3"/>
        <v>24</v>
      </c>
      <c r="U72" s="578"/>
      <c r="V72" s="603"/>
    </row>
    <row r="73" spans="1:26">
      <c r="A73" s="81">
        <v>0.51736111111111105</v>
      </c>
      <c r="B73" s="82">
        <v>0.52083333333333304</v>
      </c>
      <c r="C73" s="189"/>
      <c r="D73" s="229">
        <v>18</v>
      </c>
      <c r="E73" s="229">
        <v>2</v>
      </c>
      <c r="F73" s="229"/>
      <c r="G73" s="229"/>
      <c r="H73" s="229"/>
      <c r="I73" s="7">
        <f t="shared" ref="I73:I136" si="4">C73+D73+$X$5*(E73+F73+G73+H73)</f>
        <v>20</v>
      </c>
      <c r="J73" s="7">
        <f t="shared" si="2"/>
        <v>42</v>
      </c>
      <c r="K73" s="578"/>
      <c r="L73" s="610"/>
      <c r="M73" s="189"/>
      <c r="N73" s="229">
        <v>4</v>
      </c>
      <c r="O73" s="229"/>
      <c r="P73" s="229"/>
      <c r="Q73" s="229"/>
      <c r="R73" s="229"/>
      <c r="S73" s="7">
        <f t="shared" ref="S73:S136" si="5">M73+N73+$X$5*(O73+P73+Q73+R73)</f>
        <v>4</v>
      </c>
      <c r="T73" s="7">
        <f t="shared" si="3"/>
        <v>21</v>
      </c>
      <c r="U73" s="578"/>
      <c r="V73" s="603"/>
    </row>
    <row r="74" spans="1:26">
      <c r="A74" s="81">
        <v>0.52083333333333304</v>
      </c>
      <c r="B74" s="83">
        <v>0.52430555555555503</v>
      </c>
      <c r="C74" s="189"/>
      <c r="D74" s="229">
        <v>18</v>
      </c>
      <c r="E74" s="229"/>
      <c r="F74" s="229"/>
      <c r="G74" s="229"/>
      <c r="H74" s="229"/>
      <c r="I74" s="7">
        <f t="shared" si="4"/>
        <v>18</v>
      </c>
      <c r="J74" s="7">
        <f t="shared" si="2"/>
        <v>46</v>
      </c>
      <c r="K74" s="578"/>
      <c r="L74" s="610"/>
      <c r="M74" s="189"/>
      <c r="N74" s="229">
        <v>19</v>
      </c>
      <c r="O74" s="229">
        <v>1</v>
      </c>
      <c r="P74" s="229"/>
      <c r="Q74" s="229"/>
      <c r="R74" s="229"/>
      <c r="S74" s="7">
        <f t="shared" si="5"/>
        <v>20</v>
      </c>
      <c r="T74" s="7">
        <f t="shared" si="3"/>
        <v>33</v>
      </c>
      <c r="U74" s="578"/>
      <c r="V74" s="603"/>
    </row>
    <row r="75" spans="1:26">
      <c r="A75" s="81">
        <v>0.52430555555555503</v>
      </c>
      <c r="B75" s="82">
        <v>0.52777777777777701</v>
      </c>
      <c r="C75" s="189"/>
      <c r="D75" s="229">
        <v>9</v>
      </c>
      <c r="E75" s="229">
        <v>1</v>
      </c>
      <c r="F75" s="229">
        <v>1</v>
      </c>
      <c r="G75" s="229"/>
      <c r="H75" s="229"/>
      <c r="I75" s="7">
        <f t="shared" si="4"/>
        <v>11</v>
      </c>
      <c r="J75" s="7">
        <f t="shared" ref="J75:J138" si="6">I73+I74+I75</f>
        <v>49</v>
      </c>
      <c r="K75" s="578"/>
      <c r="L75" s="610"/>
      <c r="M75" s="189"/>
      <c r="N75" s="229">
        <v>4</v>
      </c>
      <c r="O75" s="229">
        <v>2</v>
      </c>
      <c r="P75" s="229"/>
      <c r="Q75" s="229"/>
      <c r="R75" s="229"/>
      <c r="S75" s="7">
        <f t="shared" si="5"/>
        <v>6</v>
      </c>
      <c r="T75" s="7">
        <f t="shared" ref="T75:T138" si="7">S73+S74+S75</f>
        <v>30</v>
      </c>
      <c r="U75" s="578"/>
      <c r="V75" s="603"/>
    </row>
    <row r="76" spans="1:26">
      <c r="A76" s="81">
        <v>0.52777777777777701</v>
      </c>
      <c r="B76" s="83">
        <v>0.531249999999999</v>
      </c>
      <c r="C76" s="189"/>
      <c r="D76" s="229">
        <v>16</v>
      </c>
      <c r="E76" s="229">
        <v>1</v>
      </c>
      <c r="F76" s="229">
        <v>1</v>
      </c>
      <c r="G76" s="229"/>
      <c r="H76" s="229"/>
      <c r="I76" s="7">
        <f t="shared" si="4"/>
        <v>18</v>
      </c>
      <c r="J76" s="7">
        <f t="shared" si="6"/>
        <v>47</v>
      </c>
      <c r="K76" s="578"/>
      <c r="L76" s="610"/>
      <c r="M76" s="189"/>
      <c r="N76" s="229">
        <v>11</v>
      </c>
      <c r="O76" s="229"/>
      <c r="P76" s="229">
        <v>1</v>
      </c>
      <c r="Q76" s="229"/>
      <c r="R76" s="229"/>
      <c r="S76" s="7">
        <f t="shared" si="5"/>
        <v>12</v>
      </c>
      <c r="T76" s="7">
        <f t="shared" si="7"/>
        <v>38</v>
      </c>
      <c r="U76" s="578"/>
      <c r="V76" s="603"/>
    </row>
    <row r="77" spans="1:26">
      <c r="A77" s="81">
        <v>0.531249999999999</v>
      </c>
      <c r="B77" s="82">
        <v>0.53472222222222099</v>
      </c>
      <c r="C77" s="189"/>
      <c r="D77" s="229">
        <v>15</v>
      </c>
      <c r="E77" s="229"/>
      <c r="F77" s="229"/>
      <c r="G77" s="229"/>
      <c r="H77" s="229"/>
      <c r="I77" s="7">
        <f t="shared" si="4"/>
        <v>15</v>
      </c>
      <c r="J77" s="7">
        <f t="shared" si="6"/>
        <v>44</v>
      </c>
      <c r="K77" s="578"/>
      <c r="L77" s="610"/>
      <c r="M77" s="189"/>
      <c r="N77" s="229">
        <v>7</v>
      </c>
      <c r="O77" s="229"/>
      <c r="P77" s="229"/>
      <c r="Q77" s="229"/>
      <c r="R77" s="229"/>
      <c r="S77" s="7">
        <f t="shared" si="5"/>
        <v>7</v>
      </c>
      <c r="T77" s="7">
        <f t="shared" si="7"/>
        <v>25</v>
      </c>
      <c r="U77" s="578"/>
      <c r="V77" s="603"/>
    </row>
    <row r="78" spans="1:26">
      <c r="A78" s="81">
        <v>0.53472222222222199</v>
      </c>
      <c r="B78" s="83">
        <v>0.53819444444444398</v>
      </c>
      <c r="C78" s="189"/>
      <c r="D78" s="229">
        <v>11</v>
      </c>
      <c r="E78" s="229">
        <v>1</v>
      </c>
      <c r="F78" s="229"/>
      <c r="G78" s="229"/>
      <c r="H78" s="229"/>
      <c r="I78" s="7">
        <f t="shared" si="4"/>
        <v>12</v>
      </c>
      <c r="J78" s="7">
        <f t="shared" si="6"/>
        <v>45</v>
      </c>
      <c r="K78" s="578"/>
      <c r="L78" s="610"/>
      <c r="M78" s="189"/>
      <c r="N78" s="229">
        <v>12</v>
      </c>
      <c r="O78" s="229">
        <v>1</v>
      </c>
      <c r="P78" s="229"/>
      <c r="Q78" s="229"/>
      <c r="R78" s="229"/>
      <c r="S78" s="7">
        <f t="shared" si="5"/>
        <v>13</v>
      </c>
      <c r="T78" s="7">
        <f t="shared" si="7"/>
        <v>32</v>
      </c>
      <c r="U78" s="578"/>
      <c r="V78" s="603"/>
    </row>
    <row r="79" spans="1:26" ht="15.75" thickBot="1">
      <c r="A79" s="84">
        <v>0.53819444444444398</v>
      </c>
      <c r="B79" s="85">
        <v>0.54166666666666596</v>
      </c>
      <c r="C79" s="179"/>
      <c r="D79" s="31">
        <v>10</v>
      </c>
      <c r="E79" s="31">
        <v>1</v>
      </c>
      <c r="F79" s="31"/>
      <c r="G79" s="31"/>
      <c r="H79" s="31"/>
      <c r="I79" s="261">
        <f t="shared" si="4"/>
        <v>11</v>
      </c>
      <c r="J79" s="32">
        <f t="shared" si="6"/>
        <v>38</v>
      </c>
      <c r="K79" s="579"/>
      <c r="L79" s="611"/>
      <c r="M79" s="179"/>
      <c r="N79" s="31">
        <v>12</v>
      </c>
      <c r="O79" s="31">
        <v>1</v>
      </c>
      <c r="P79" s="31">
        <v>1</v>
      </c>
      <c r="Q79" s="31"/>
      <c r="R79" s="31"/>
      <c r="S79" s="261">
        <f t="shared" si="5"/>
        <v>14</v>
      </c>
      <c r="T79" s="261">
        <f t="shared" si="7"/>
        <v>34</v>
      </c>
      <c r="U79" s="579"/>
      <c r="V79" s="604"/>
    </row>
    <row r="80" spans="1:26">
      <c r="A80" s="81">
        <v>0.54166666666666596</v>
      </c>
      <c r="B80" s="83">
        <v>0.54513888888888795</v>
      </c>
      <c r="C80" s="157">
        <v>1</v>
      </c>
      <c r="D80" s="152">
        <v>11</v>
      </c>
      <c r="E80" s="152"/>
      <c r="F80" s="152"/>
      <c r="G80" s="152"/>
      <c r="H80" s="152"/>
      <c r="I80" s="68">
        <f t="shared" si="4"/>
        <v>12</v>
      </c>
      <c r="J80" s="5">
        <f t="shared" si="6"/>
        <v>35</v>
      </c>
      <c r="K80" s="577">
        <f>+SUM(I80:I91)</f>
        <v>172</v>
      </c>
      <c r="L80" s="609">
        <f>+K80/(4*MAX(J82:J91))</f>
        <v>0.81132075471698117</v>
      </c>
      <c r="M80" s="157"/>
      <c r="N80" s="152">
        <v>7</v>
      </c>
      <c r="O80" s="152">
        <v>1</v>
      </c>
      <c r="P80" s="152"/>
      <c r="Q80" s="152"/>
      <c r="R80" s="152"/>
      <c r="S80" s="68">
        <f t="shared" si="5"/>
        <v>8</v>
      </c>
      <c r="T80" s="5">
        <f t="shared" si="7"/>
        <v>35</v>
      </c>
      <c r="U80" s="577">
        <f>+SUM(S80:S91)</f>
        <v>129</v>
      </c>
      <c r="V80" s="602">
        <f>+U80/(4*MAX(T82:T91))</f>
        <v>0.8716216216216216</v>
      </c>
      <c r="Y80" s="138">
        <f>SUM(H80:H91)</f>
        <v>0</v>
      </c>
      <c r="Z80" s="138">
        <f>SUM(R80:R91)</f>
        <v>0</v>
      </c>
    </row>
    <row r="81" spans="1:26">
      <c r="A81" s="81">
        <v>0.54513888888888795</v>
      </c>
      <c r="B81" s="82">
        <v>0.54861111111111005</v>
      </c>
      <c r="C81" s="189"/>
      <c r="D81" s="229">
        <v>12</v>
      </c>
      <c r="E81" s="229"/>
      <c r="F81" s="229"/>
      <c r="G81" s="229"/>
      <c r="H81" s="229"/>
      <c r="I81" s="7">
        <f t="shared" si="4"/>
        <v>12</v>
      </c>
      <c r="J81" s="7">
        <f t="shared" si="6"/>
        <v>35</v>
      </c>
      <c r="K81" s="578"/>
      <c r="L81" s="610"/>
      <c r="M81" s="189"/>
      <c r="N81" s="229">
        <v>9</v>
      </c>
      <c r="O81" s="229"/>
      <c r="P81" s="229">
        <v>1</v>
      </c>
      <c r="Q81" s="229"/>
      <c r="R81" s="229"/>
      <c r="S81" s="7">
        <f t="shared" si="5"/>
        <v>10</v>
      </c>
      <c r="T81" s="7">
        <f t="shared" si="7"/>
        <v>32</v>
      </c>
      <c r="U81" s="578"/>
      <c r="V81" s="603"/>
    </row>
    <row r="82" spans="1:26">
      <c r="A82" s="81">
        <v>0.54861111111111105</v>
      </c>
      <c r="B82" s="83">
        <v>0.55208333333333304</v>
      </c>
      <c r="C82" s="189">
        <v>1</v>
      </c>
      <c r="D82" s="229">
        <v>10</v>
      </c>
      <c r="E82" s="229">
        <v>2</v>
      </c>
      <c r="F82" s="229"/>
      <c r="G82" s="229"/>
      <c r="H82" s="229"/>
      <c r="I82" s="7">
        <f t="shared" si="4"/>
        <v>13</v>
      </c>
      <c r="J82" s="7">
        <f t="shared" si="6"/>
        <v>37</v>
      </c>
      <c r="K82" s="578"/>
      <c r="L82" s="610"/>
      <c r="M82" s="189"/>
      <c r="N82" s="229">
        <v>7</v>
      </c>
      <c r="O82" s="229"/>
      <c r="P82" s="229"/>
      <c r="Q82" s="229"/>
      <c r="R82" s="229"/>
      <c r="S82" s="7">
        <f t="shared" si="5"/>
        <v>7</v>
      </c>
      <c r="T82" s="7">
        <f t="shared" si="7"/>
        <v>25</v>
      </c>
      <c r="U82" s="578"/>
      <c r="V82" s="603"/>
    </row>
    <row r="83" spans="1:26">
      <c r="A83" s="81">
        <v>0.55208333333333304</v>
      </c>
      <c r="B83" s="82">
        <v>0.55555555555555503</v>
      </c>
      <c r="C83" s="189"/>
      <c r="D83" s="229">
        <v>10</v>
      </c>
      <c r="E83" s="229"/>
      <c r="F83" s="229"/>
      <c r="G83" s="229"/>
      <c r="H83" s="229"/>
      <c r="I83" s="7">
        <f t="shared" si="4"/>
        <v>10</v>
      </c>
      <c r="J83" s="7">
        <f t="shared" si="6"/>
        <v>35</v>
      </c>
      <c r="K83" s="578"/>
      <c r="L83" s="610"/>
      <c r="M83" s="189"/>
      <c r="N83" s="229">
        <v>9</v>
      </c>
      <c r="O83" s="229">
        <v>2</v>
      </c>
      <c r="P83" s="229">
        <v>1</v>
      </c>
      <c r="Q83" s="229"/>
      <c r="R83" s="229"/>
      <c r="S83" s="7">
        <f t="shared" si="5"/>
        <v>12</v>
      </c>
      <c r="T83" s="7">
        <f t="shared" si="7"/>
        <v>29</v>
      </c>
      <c r="U83" s="578"/>
      <c r="V83" s="603"/>
    </row>
    <row r="84" spans="1:26">
      <c r="A84" s="81">
        <v>0.55555555555555503</v>
      </c>
      <c r="B84" s="83">
        <v>0.55902777777777701</v>
      </c>
      <c r="C84" s="189"/>
      <c r="D84" s="229">
        <v>20</v>
      </c>
      <c r="E84" s="229"/>
      <c r="F84" s="229"/>
      <c r="G84" s="229"/>
      <c r="H84" s="229"/>
      <c r="I84" s="7">
        <f t="shared" si="4"/>
        <v>20</v>
      </c>
      <c r="J84" s="7">
        <f t="shared" si="6"/>
        <v>43</v>
      </c>
      <c r="K84" s="578"/>
      <c r="L84" s="610"/>
      <c r="M84" s="189"/>
      <c r="N84" s="229">
        <v>12</v>
      </c>
      <c r="O84" s="229">
        <v>1</v>
      </c>
      <c r="P84" s="229"/>
      <c r="Q84" s="229"/>
      <c r="R84" s="229"/>
      <c r="S84" s="7">
        <f t="shared" si="5"/>
        <v>13</v>
      </c>
      <c r="T84" s="7">
        <f t="shared" si="7"/>
        <v>32</v>
      </c>
      <c r="U84" s="578"/>
      <c r="V84" s="603"/>
    </row>
    <row r="85" spans="1:26">
      <c r="A85" s="81">
        <v>0.55902777777777701</v>
      </c>
      <c r="B85" s="82">
        <v>0.562499999999999</v>
      </c>
      <c r="C85" s="189"/>
      <c r="D85" s="229">
        <v>16</v>
      </c>
      <c r="E85" s="229">
        <v>2</v>
      </c>
      <c r="F85" s="229"/>
      <c r="G85" s="229"/>
      <c r="H85" s="229"/>
      <c r="I85" s="7">
        <f t="shared" si="4"/>
        <v>18</v>
      </c>
      <c r="J85" s="7">
        <f t="shared" si="6"/>
        <v>48</v>
      </c>
      <c r="K85" s="578"/>
      <c r="L85" s="610"/>
      <c r="M85" s="189"/>
      <c r="N85" s="229">
        <v>11</v>
      </c>
      <c r="O85" s="229"/>
      <c r="P85" s="229"/>
      <c r="Q85" s="229"/>
      <c r="R85" s="229"/>
      <c r="S85" s="7">
        <f t="shared" si="5"/>
        <v>11</v>
      </c>
      <c r="T85" s="7">
        <f t="shared" si="7"/>
        <v>36</v>
      </c>
      <c r="U85" s="578"/>
      <c r="V85" s="603"/>
    </row>
    <row r="86" spans="1:26">
      <c r="A86" s="81">
        <v>0.562499999999999</v>
      </c>
      <c r="B86" s="83">
        <v>0.56597222222222099</v>
      </c>
      <c r="C86" s="189"/>
      <c r="D86" s="229">
        <v>15</v>
      </c>
      <c r="E86" s="229"/>
      <c r="F86" s="229"/>
      <c r="G86" s="229"/>
      <c r="H86" s="229"/>
      <c r="I86" s="7">
        <f t="shared" si="4"/>
        <v>15</v>
      </c>
      <c r="J86" s="7">
        <f t="shared" si="6"/>
        <v>53</v>
      </c>
      <c r="K86" s="578"/>
      <c r="L86" s="610"/>
      <c r="M86" s="189"/>
      <c r="N86" s="229">
        <v>9</v>
      </c>
      <c r="O86" s="229">
        <v>1</v>
      </c>
      <c r="P86" s="229">
        <v>1</v>
      </c>
      <c r="Q86" s="229"/>
      <c r="R86" s="229"/>
      <c r="S86" s="7">
        <f t="shared" si="5"/>
        <v>11</v>
      </c>
      <c r="T86" s="7">
        <f t="shared" si="7"/>
        <v>35</v>
      </c>
      <c r="U86" s="578"/>
      <c r="V86" s="603"/>
    </row>
    <row r="87" spans="1:26">
      <c r="A87" s="81">
        <v>0.56597222222222199</v>
      </c>
      <c r="B87" s="82">
        <v>0.56944444444444398</v>
      </c>
      <c r="C87" s="189"/>
      <c r="D87" s="229">
        <v>14</v>
      </c>
      <c r="E87" s="229"/>
      <c r="F87" s="229"/>
      <c r="G87" s="229"/>
      <c r="H87" s="229"/>
      <c r="I87" s="7">
        <f t="shared" si="4"/>
        <v>14</v>
      </c>
      <c r="J87" s="7">
        <f t="shared" si="6"/>
        <v>47</v>
      </c>
      <c r="K87" s="578"/>
      <c r="L87" s="610"/>
      <c r="M87" s="189"/>
      <c r="N87" s="229">
        <v>10</v>
      </c>
      <c r="O87" s="229">
        <v>1</v>
      </c>
      <c r="P87" s="229"/>
      <c r="Q87" s="229"/>
      <c r="R87" s="229"/>
      <c r="S87" s="7">
        <f t="shared" si="5"/>
        <v>11</v>
      </c>
      <c r="T87" s="7">
        <f t="shared" si="7"/>
        <v>33</v>
      </c>
      <c r="U87" s="578"/>
      <c r="V87" s="603"/>
    </row>
    <row r="88" spans="1:26">
      <c r="A88" s="81">
        <v>0.56944444444444398</v>
      </c>
      <c r="B88" s="83">
        <v>0.57291666666666596</v>
      </c>
      <c r="C88" s="189"/>
      <c r="D88" s="229">
        <v>8</v>
      </c>
      <c r="E88" s="229">
        <v>1</v>
      </c>
      <c r="F88" s="229"/>
      <c r="G88" s="229"/>
      <c r="H88" s="229"/>
      <c r="I88" s="7">
        <f t="shared" si="4"/>
        <v>9</v>
      </c>
      <c r="J88" s="7">
        <f t="shared" si="6"/>
        <v>38</v>
      </c>
      <c r="K88" s="578"/>
      <c r="L88" s="610"/>
      <c r="M88" s="189"/>
      <c r="N88" s="229">
        <v>12</v>
      </c>
      <c r="O88" s="229"/>
      <c r="P88" s="229"/>
      <c r="Q88" s="229"/>
      <c r="R88" s="229"/>
      <c r="S88" s="7">
        <f t="shared" si="5"/>
        <v>12</v>
      </c>
      <c r="T88" s="7">
        <f t="shared" si="7"/>
        <v>34</v>
      </c>
      <c r="U88" s="578"/>
      <c r="V88" s="603"/>
    </row>
    <row r="89" spans="1:26">
      <c r="A89" s="81">
        <v>0.57291666666666596</v>
      </c>
      <c r="B89" s="82">
        <v>0.57638888888888795</v>
      </c>
      <c r="C89" s="189"/>
      <c r="D89" s="229">
        <v>15</v>
      </c>
      <c r="E89" s="229">
        <v>1</v>
      </c>
      <c r="F89" s="229">
        <v>1</v>
      </c>
      <c r="G89" s="229"/>
      <c r="H89" s="229"/>
      <c r="I89" s="7">
        <f t="shared" si="4"/>
        <v>17</v>
      </c>
      <c r="J89" s="7">
        <f t="shared" si="6"/>
        <v>40</v>
      </c>
      <c r="K89" s="578"/>
      <c r="L89" s="610"/>
      <c r="M89" s="189"/>
      <c r="N89" s="229">
        <v>14</v>
      </c>
      <c r="O89" s="229"/>
      <c r="P89" s="229"/>
      <c r="Q89" s="229"/>
      <c r="R89" s="229"/>
      <c r="S89" s="7">
        <f t="shared" si="5"/>
        <v>14</v>
      </c>
      <c r="T89" s="7">
        <f t="shared" si="7"/>
        <v>37</v>
      </c>
      <c r="U89" s="578"/>
      <c r="V89" s="603"/>
    </row>
    <row r="90" spans="1:26">
      <c r="A90" s="81">
        <v>0.57638888888888795</v>
      </c>
      <c r="B90" s="83">
        <v>0.57986111111111005</v>
      </c>
      <c r="C90" s="189">
        <v>1</v>
      </c>
      <c r="D90" s="229">
        <v>16</v>
      </c>
      <c r="E90" s="229"/>
      <c r="F90" s="229">
        <v>2</v>
      </c>
      <c r="G90" s="229"/>
      <c r="H90" s="229"/>
      <c r="I90" s="7">
        <f t="shared" si="4"/>
        <v>19</v>
      </c>
      <c r="J90" s="7">
        <f t="shared" si="6"/>
        <v>45</v>
      </c>
      <c r="K90" s="578"/>
      <c r="L90" s="610"/>
      <c r="M90" s="189"/>
      <c r="N90" s="229">
        <v>11</v>
      </c>
      <c r="O90" s="229"/>
      <c r="P90" s="229"/>
      <c r="Q90" s="229"/>
      <c r="R90" s="229"/>
      <c r="S90" s="7">
        <f t="shared" si="5"/>
        <v>11</v>
      </c>
      <c r="T90" s="7">
        <f t="shared" si="7"/>
        <v>37</v>
      </c>
      <c r="U90" s="578"/>
      <c r="V90" s="603"/>
    </row>
    <row r="91" spans="1:26" ht="15.75" thickBot="1">
      <c r="A91" s="86">
        <v>0.57986111111111005</v>
      </c>
      <c r="B91" s="87">
        <v>0.58333333333333204</v>
      </c>
      <c r="C91" s="190"/>
      <c r="D91" s="155">
        <v>11</v>
      </c>
      <c r="E91" s="155">
        <v>1</v>
      </c>
      <c r="F91" s="155">
        <v>1</v>
      </c>
      <c r="G91" s="155"/>
      <c r="H91" s="155"/>
      <c r="I91" s="261">
        <f t="shared" si="4"/>
        <v>13</v>
      </c>
      <c r="J91" s="22">
        <f t="shared" si="6"/>
        <v>49</v>
      </c>
      <c r="K91" s="579"/>
      <c r="L91" s="611"/>
      <c r="M91" s="190"/>
      <c r="N91" s="155">
        <v>5</v>
      </c>
      <c r="O91" s="155">
        <v>3</v>
      </c>
      <c r="P91" s="155">
        <v>1</v>
      </c>
      <c r="Q91" s="155"/>
      <c r="R91" s="155"/>
      <c r="S91" s="261">
        <f t="shared" si="5"/>
        <v>9</v>
      </c>
      <c r="T91" s="22">
        <f t="shared" si="7"/>
        <v>34</v>
      </c>
      <c r="U91" s="579"/>
      <c r="V91" s="604"/>
    </row>
    <row r="92" spans="1:26">
      <c r="A92" s="79">
        <v>0.58333333333333304</v>
      </c>
      <c r="B92" s="80">
        <v>0.58680555555555503</v>
      </c>
      <c r="C92" s="174"/>
      <c r="D92" s="25">
        <v>11</v>
      </c>
      <c r="E92" s="25">
        <v>1</v>
      </c>
      <c r="F92" s="25"/>
      <c r="G92" s="25"/>
      <c r="H92" s="25"/>
      <c r="I92" s="68">
        <f t="shared" si="4"/>
        <v>12</v>
      </c>
      <c r="J92" s="6">
        <f t="shared" si="6"/>
        <v>44</v>
      </c>
      <c r="K92" s="577">
        <f>+SUM(I92:I103)</f>
        <v>156</v>
      </c>
      <c r="L92" s="609">
        <f>+K92/(4*MAX(J94:J103))</f>
        <v>0.82978723404255317</v>
      </c>
      <c r="M92" s="174"/>
      <c r="N92" s="25">
        <v>13</v>
      </c>
      <c r="O92" s="25"/>
      <c r="P92" s="25"/>
      <c r="Q92" s="25"/>
      <c r="R92" s="25"/>
      <c r="S92" s="68">
        <f t="shared" si="5"/>
        <v>13</v>
      </c>
      <c r="T92" s="6">
        <f t="shared" si="7"/>
        <v>33</v>
      </c>
      <c r="U92" s="577">
        <f>+SUM(S92:S103)</f>
        <v>132</v>
      </c>
      <c r="V92" s="602">
        <f>+U92/(4*MAX(T94:T103))</f>
        <v>0.80487804878048785</v>
      </c>
      <c r="Y92" s="138">
        <f>SUM(H92:H103)</f>
        <v>0</v>
      </c>
      <c r="Z92" s="138">
        <f>SUM(R92:R103)</f>
        <v>0</v>
      </c>
    </row>
    <row r="93" spans="1:26">
      <c r="A93" s="81">
        <v>0.58680555555555503</v>
      </c>
      <c r="B93" s="82">
        <v>0.59027777777777701</v>
      </c>
      <c r="C93" s="189">
        <v>1</v>
      </c>
      <c r="D93" s="229">
        <v>11</v>
      </c>
      <c r="E93" s="229"/>
      <c r="F93" s="229"/>
      <c r="G93" s="229"/>
      <c r="H93" s="229"/>
      <c r="I93" s="7">
        <f t="shared" si="4"/>
        <v>12</v>
      </c>
      <c r="J93" s="7">
        <f t="shared" si="6"/>
        <v>37</v>
      </c>
      <c r="K93" s="578"/>
      <c r="L93" s="610"/>
      <c r="M93" s="189"/>
      <c r="N93" s="229">
        <v>13</v>
      </c>
      <c r="O93" s="229"/>
      <c r="P93" s="229">
        <v>1</v>
      </c>
      <c r="Q93" s="229"/>
      <c r="R93" s="229"/>
      <c r="S93" s="7">
        <f t="shared" si="5"/>
        <v>14</v>
      </c>
      <c r="T93" s="7">
        <f t="shared" si="7"/>
        <v>36</v>
      </c>
      <c r="U93" s="578"/>
      <c r="V93" s="603"/>
    </row>
    <row r="94" spans="1:26">
      <c r="A94" s="81">
        <v>0.59027777777777701</v>
      </c>
      <c r="B94" s="83">
        <v>0.593749999999999</v>
      </c>
      <c r="C94" s="189">
        <v>1</v>
      </c>
      <c r="D94" s="229">
        <v>10</v>
      </c>
      <c r="E94" s="229">
        <v>2</v>
      </c>
      <c r="F94" s="229"/>
      <c r="G94" s="229"/>
      <c r="H94" s="229"/>
      <c r="I94" s="7">
        <f t="shared" si="4"/>
        <v>13</v>
      </c>
      <c r="J94" s="7">
        <f t="shared" si="6"/>
        <v>37</v>
      </c>
      <c r="K94" s="578"/>
      <c r="L94" s="610"/>
      <c r="M94" s="189">
        <v>1</v>
      </c>
      <c r="N94" s="229">
        <v>10</v>
      </c>
      <c r="O94" s="229">
        <v>1</v>
      </c>
      <c r="P94" s="229"/>
      <c r="Q94" s="229"/>
      <c r="R94" s="229"/>
      <c r="S94" s="7">
        <f t="shared" si="5"/>
        <v>12</v>
      </c>
      <c r="T94" s="7">
        <f t="shared" si="7"/>
        <v>39</v>
      </c>
      <c r="U94" s="578"/>
      <c r="V94" s="603"/>
    </row>
    <row r="95" spans="1:26">
      <c r="A95" s="81">
        <v>0.593749999999999</v>
      </c>
      <c r="B95" s="82">
        <v>0.59722222222222099</v>
      </c>
      <c r="C95" s="189"/>
      <c r="D95" s="229">
        <v>13</v>
      </c>
      <c r="E95" s="229"/>
      <c r="F95" s="229">
        <v>1</v>
      </c>
      <c r="G95" s="229"/>
      <c r="H95" s="229"/>
      <c r="I95" s="7">
        <f t="shared" si="4"/>
        <v>14</v>
      </c>
      <c r="J95" s="7">
        <f t="shared" si="6"/>
        <v>39</v>
      </c>
      <c r="K95" s="578"/>
      <c r="L95" s="610"/>
      <c r="M95" s="189">
        <v>1</v>
      </c>
      <c r="N95" s="229">
        <v>4</v>
      </c>
      <c r="O95" s="229">
        <v>1</v>
      </c>
      <c r="P95" s="229"/>
      <c r="Q95" s="229"/>
      <c r="R95" s="229"/>
      <c r="S95" s="7">
        <f t="shared" si="5"/>
        <v>6</v>
      </c>
      <c r="T95" s="7">
        <f t="shared" si="7"/>
        <v>32</v>
      </c>
      <c r="U95" s="578"/>
      <c r="V95" s="603"/>
    </row>
    <row r="96" spans="1:26">
      <c r="A96" s="81">
        <v>0.59722222222222099</v>
      </c>
      <c r="B96" s="83">
        <v>0.60069444444444298</v>
      </c>
      <c r="C96" s="189"/>
      <c r="D96" s="229">
        <v>12</v>
      </c>
      <c r="E96" s="229">
        <v>1</v>
      </c>
      <c r="F96" s="229"/>
      <c r="G96" s="229"/>
      <c r="H96" s="229"/>
      <c r="I96" s="7">
        <f t="shared" si="4"/>
        <v>13</v>
      </c>
      <c r="J96" s="7">
        <f t="shared" si="6"/>
        <v>40</v>
      </c>
      <c r="K96" s="578"/>
      <c r="L96" s="610"/>
      <c r="M96" s="189"/>
      <c r="N96" s="229">
        <v>6</v>
      </c>
      <c r="O96" s="229">
        <v>1</v>
      </c>
      <c r="P96" s="229"/>
      <c r="Q96" s="229"/>
      <c r="R96" s="229"/>
      <c r="S96" s="7">
        <f t="shared" si="5"/>
        <v>7</v>
      </c>
      <c r="T96" s="7">
        <f t="shared" si="7"/>
        <v>25</v>
      </c>
      <c r="U96" s="578"/>
      <c r="V96" s="603"/>
    </row>
    <row r="97" spans="1:26">
      <c r="A97" s="81">
        <v>0.60069444444444398</v>
      </c>
      <c r="B97" s="82">
        <v>0.60416666666666596</v>
      </c>
      <c r="C97" s="189"/>
      <c r="D97" s="229">
        <v>10</v>
      </c>
      <c r="E97" s="229">
        <v>1</v>
      </c>
      <c r="F97" s="229"/>
      <c r="G97" s="229"/>
      <c r="H97" s="229"/>
      <c r="I97" s="7">
        <f t="shared" si="4"/>
        <v>11</v>
      </c>
      <c r="J97" s="7">
        <f t="shared" si="6"/>
        <v>38</v>
      </c>
      <c r="K97" s="578"/>
      <c r="L97" s="610"/>
      <c r="M97" s="189"/>
      <c r="N97" s="229">
        <v>9</v>
      </c>
      <c r="O97" s="229"/>
      <c r="P97" s="229"/>
      <c r="Q97" s="229"/>
      <c r="R97" s="229"/>
      <c r="S97" s="7">
        <f t="shared" si="5"/>
        <v>9</v>
      </c>
      <c r="T97" s="7">
        <f t="shared" si="7"/>
        <v>22</v>
      </c>
      <c r="U97" s="578"/>
      <c r="V97" s="603"/>
    </row>
    <row r="98" spans="1:26">
      <c r="A98" s="81">
        <v>0.60416666666666596</v>
      </c>
      <c r="B98" s="83">
        <v>0.60763888888888795</v>
      </c>
      <c r="C98" s="189"/>
      <c r="D98" s="229">
        <v>11</v>
      </c>
      <c r="E98" s="229"/>
      <c r="F98" s="229"/>
      <c r="G98" s="229"/>
      <c r="H98" s="229"/>
      <c r="I98" s="7">
        <f t="shared" si="4"/>
        <v>11</v>
      </c>
      <c r="J98" s="7">
        <f t="shared" si="6"/>
        <v>35</v>
      </c>
      <c r="K98" s="578"/>
      <c r="L98" s="610"/>
      <c r="M98" s="189"/>
      <c r="N98" s="229">
        <v>4</v>
      </c>
      <c r="O98" s="229">
        <v>1</v>
      </c>
      <c r="P98" s="229"/>
      <c r="Q98" s="229"/>
      <c r="R98" s="229"/>
      <c r="S98" s="7">
        <f t="shared" si="5"/>
        <v>5</v>
      </c>
      <c r="T98" s="7">
        <f t="shared" si="7"/>
        <v>21</v>
      </c>
      <c r="U98" s="578"/>
      <c r="V98" s="603"/>
    </row>
    <row r="99" spans="1:26">
      <c r="A99" s="81">
        <v>0.60763888888888795</v>
      </c>
      <c r="B99" s="82">
        <v>0.61111111111111005</v>
      </c>
      <c r="C99" s="189"/>
      <c r="D99" s="229">
        <v>13</v>
      </c>
      <c r="E99" s="229"/>
      <c r="F99" s="229">
        <v>3</v>
      </c>
      <c r="G99" s="229"/>
      <c r="H99" s="229"/>
      <c r="I99" s="7">
        <f t="shared" si="4"/>
        <v>16</v>
      </c>
      <c r="J99" s="7">
        <f t="shared" si="6"/>
        <v>38</v>
      </c>
      <c r="K99" s="578"/>
      <c r="L99" s="610"/>
      <c r="M99" s="189"/>
      <c r="N99" s="229">
        <v>10</v>
      </c>
      <c r="O99" s="229">
        <v>2</v>
      </c>
      <c r="P99" s="229">
        <v>1</v>
      </c>
      <c r="Q99" s="229"/>
      <c r="R99" s="229"/>
      <c r="S99" s="7">
        <f t="shared" si="5"/>
        <v>13</v>
      </c>
      <c r="T99" s="7">
        <f t="shared" si="7"/>
        <v>27</v>
      </c>
      <c r="U99" s="578"/>
      <c r="V99" s="603"/>
    </row>
    <row r="100" spans="1:26">
      <c r="A100" s="81">
        <v>0.61111111111111005</v>
      </c>
      <c r="B100" s="83">
        <v>0.61458333333333204</v>
      </c>
      <c r="C100" s="189"/>
      <c r="D100" s="229">
        <v>19</v>
      </c>
      <c r="E100" s="229">
        <v>1</v>
      </c>
      <c r="F100" s="229"/>
      <c r="G100" s="229"/>
      <c r="H100" s="229"/>
      <c r="I100" s="7">
        <f t="shared" si="4"/>
        <v>20</v>
      </c>
      <c r="J100" s="7">
        <f t="shared" si="6"/>
        <v>47</v>
      </c>
      <c r="K100" s="578"/>
      <c r="L100" s="610"/>
      <c r="M100" s="189">
        <v>1</v>
      </c>
      <c r="N100" s="229">
        <v>11</v>
      </c>
      <c r="O100" s="229"/>
      <c r="P100" s="229"/>
      <c r="Q100" s="229"/>
      <c r="R100" s="229"/>
      <c r="S100" s="7">
        <f t="shared" si="5"/>
        <v>12</v>
      </c>
      <c r="T100" s="7">
        <f t="shared" si="7"/>
        <v>30</v>
      </c>
      <c r="U100" s="578"/>
      <c r="V100" s="603"/>
    </row>
    <row r="101" spans="1:26">
      <c r="A101" s="81">
        <v>0.61458333333333304</v>
      </c>
      <c r="B101" s="82">
        <v>0.61805555555555503</v>
      </c>
      <c r="C101" s="189"/>
      <c r="D101" s="229">
        <v>10</v>
      </c>
      <c r="E101" s="229">
        <v>1</v>
      </c>
      <c r="F101" s="229"/>
      <c r="G101" s="229"/>
      <c r="H101" s="229"/>
      <c r="I101" s="7">
        <f t="shared" si="4"/>
        <v>11</v>
      </c>
      <c r="J101" s="7">
        <f t="shared" si="6"/>
        <v>47</v>
      </c>
      <c r="K101" s="578"/>
      <c r="L101" s="610"/>
      <c r="M101" s="189"/>
      <c r="N101" s="229">
        <v>12</v>
      </c>
      <c r="O101" s="229"/>
      <c r="P101" s="229"/>
      <c r="Q101" s="229"/>
      <c r="R101" s="229"/>
      <c r="S101" s="7">
        <f t="shared" si="5"/>
        <v>12</v>
      </c>
      <c r="T101" s="7">
        <f t="shared" si="7"/>
        <v>37</v>
      </c>
      <c r="U101" s="578"/>
      <c r="V101" s="603"/>
    </row>
    <row r="102" spans="1:26">
      <c r="A102" s="81">
        <v>0.61805555555555503</v>
      </c>
      <c r="B102" s="83">
        <v>0.62152777777777701</v>
      </c>
      <c r="C102" s="189"/>
      <c r="D102" s="229">
        <v>9</v>
      </c>
      <c r="E102" s="229">
        <v>1</v>
      </c>
      <c r="F102" s="229"/>
      <c r="G102" s="229"/>
      <c r="H102" s="229"/>
      <c r="I102" s="7">
        <f t="shared" si="4"/>
        <v>10</v>
      </c>
      <c r="J102" s="7">
        <f t="shared" si="6"/>
        <v>41</v>
      </c>
      <c r="K102" s="578"/>
      <c r="L102" s="610"/>
      <c r="M102" s="189"/>
      <c r="N102" s="229">
        <v>10</v>
      </c>
      <c r="O102" s="229">
        <v>1</v>
      </c>
      <c r="P102" s="229"/>
      <c r="Q102" s="229"/>
      <c r="R102" s="229"/>
      <c r="S102" s="7">
        <f t="shared" si="5"/>
        <v>11</v>
      </c>
      <c r="T102" s="7">
        <f t="shared" si="7"/>
        <v>35</v>
      </c>
      <c r="U102" s="578"/>
      <c r="V102" s="603"/>
    </row>
    <row r="103" spans="1:26" ht="15.75" thickBot="1">
      <c r="A103" s="84">
        <v>0.62152777777777701</v>
      </c>
      <c r="B103" s="85">
        <v>0.624999999999999</v>
      </c>
      <c r="C103" s="179"/>
      <c r="D103" s="31">
        <v>12</v>
      </c>
      <c r="E103" s="31">
        <v>1</v>
      </c>
      <c r="F103" s="31"/>
      <c r="G103" s="31"/>
      <c r="H103" s="31"/>
      <c r="I103" s="261">
        <f t="shared" si="4"/>
        <v>13</v>
      </c>
      <c r="J103" s="32">
        <f t="shared" si="6"/>
        <v>34</v>
      </c>
      <c r="K103" s="579"/>
      <c r="L103" s="611"/>
      <c r="M103" s="179"/>
      <c r="N103" s="31">
        <v>16</v>
      </c>
      <c r="O103" s="31">
        <v>2</v>
      </c>
      <c r="P103" s="31"/>
      <c r="Q103" s="31"/>
      <c r="R103" s="31"/>
      <c r="S103" s="261">
        <f t="shared" si="5"/>
        <v>18</v>
      </c>
      <c r="T103" s="32">
        <f t="shared" si="7"/>
        <v>41</v>
      </c>
      <c r="U103" s="579"/>
      <c r="V103" s="604"/>
    </row>
    <row r="104" spans="1:26">
      <c r="A104" s="81">
        <v>0.624999999999999</v>
      </c>
      <c r="B104" s="83">
        <v>0.62847222222222099</v>
      </c>
      <c r="C104" s="157"/>
      <c r="D104" s="152">
        <v>11</v>
      </c>
      <c r="E104" s="152">
        <v>1</v>
      </c>
      <c r="F104" s="152"/>
      <c r="G104" s="152"/>
      <c r="H104" s="152"/>
      <c r="I104" s="68">
        <f t="shared" si="4"/>
        <v>12</v>
      </c>
      <c r="J104" s="5">
        <f t="shared" si="6"/>
        <v>35</v>
      </c>
      <c r="K104" s="577">
        <f>+SUM(I104:I115)</f>
        <v>148</v>
      </c>
      <c r="L104" s="609">
        <f>+K104/(4*MAX(J106:J115))</f>
        <v>0.86046511627906974</v>
      </c>
      <c r="M104" s="157"/>
      <c r="N104" s="152">
        <v>15</v>
      </c>
      <c r="O104" s="152"/>
      <c r="P104" s="152"/>
      <c r="Q104" s="152"/>
      <c r="R104" s="152"/>
      <c r="S104" s="68">
        <f t="shared" si="5"/>
        <v>15</v>
      </c>
      <c r="T104" s="5">
        <f t="shared" si="7"/>
        <v>44</v>
      </c>
      <c r="U104" s="577">
        <f>+SUM(S104:S115)</f>
        <v>122</v>
      </c>
      <c r="V104" s="602">
        <f>+U104/(4*MAX(T106:T115))</f>
        <v>0.78205128205128205</v>
      </c>
      <c r="Y104" s="138">
        <f>SUM(H104:H115)</f>
        <v>0</v>
      </c>
      <c r="Z104" s="138">
        <f>SUM(R104:R115)</f>
        <v>0</v>
      </c>
    </row>
    <row r="105" spans="1:26">
      <c r="A105" s="81">
        <v>0.62847222222222099</v>
      </c>
      <c r="B105" s="82">
        <v>0.63194444444444298</v>
      </c>
      <c r="C105" s="189">
        <v>1</v>
      </c>
      <c r="D105" s="229">
        <v>8</v>
      </c>
      <c r="E105" s="229"/>
      <c r="F105" s="229"/>
      <c r="G105" s="229"/>
      <c r="H105" s="229"/>
      <c r="I105" s="7">
        <f t="shared" si="4"/>
        <v>9</v>
      </c>
      <c r="J105" s="7">
        <f t="shared" si="6"/>
        <v>34</v>
      </c>
      <c r="K105" s="578"/>
      <c r="L105" s="610"/>
      <c r="M105" s="189"/>
      <c r="N105" s="229">
        <v>6</v>
      </c>
      <c r="O105" s="229"/>
      <c r="P105" s="229"/>
      <c r="Q105" s="229"/>
      <c r="R105" s="229"/>
      <c r="S105" s="7">
        <f t="shared" si="5"/>
        <v>6</v>
      </c>
      <c r="T105" s="7">
        <f t="shared" si="7"/>
        <v>39</v>
      </c>
      <c r="U105" s="578"/>
      <c r="V105" s="603"/>
    </row>
    <row r="106" spans="1:26">
      <c r="A106" s="81">
        <v>0.63194444444444398</v>
      </c>
      <c r="B106" s="83">
        <v>0.63541666666666596</v>
      </c>
      <c r="C106" s="189"/>
      <c r="D106" s="229">
        <v>10</v>
      </c>
      <c r="E106" s="229">
        <v>1</v>
      </c>
      <c r="F106" s="229"/>
      <c r="G106" s="229"/>
      <c r="H106" s="229"/>
      <c r="I106" s="7">
        <f t="shared" si="4"/>
        <v>11</v>
      </c>
      <c r="J106" s="7">
        <f t="shared" si="6"/>
        <v>32</v>
      </c>
      <c r="K106" s="578"/>
      <c r="L106" s="610"/>
      <c r="M106" s="189"/>
      <c r="N106" s="229">
        <v>11</v>
      </c>
      <c r="O106" s="229">
        <v>1</v>
      </c>
      <c r="P106" s="229"/>
      <c r="Q106" s="229"/>
      <c r="R106" s="229"/>
      <c r="S106" s="7">
        <f t="shared" si="5"/>
        <v>12</v>
      </c>
      <c r="T106" s="7">
        <f t="shared" si="7"/>
        <v>33</v>
      </c>
      <c r="U106" s="578"/>
      <c r="V106" s="603"/>
    </row>
    <row r="107" spans="1:26">
      <c r="A107" s="81">
        <v>0.63541666666666596</v>
      </c>
      <c r="B107" s="82">
        <v>0.63888888888888795</v>
      </c>
      <c r="C107" s="189"/>
      <c r="D107" s="229">
        <v>10</v>
      </c>
      <c r="E107" s="229"/>
      <c r="F107" s="229"/>
      <c r="G107" s="229"/>
      <c r="H107" s="229"/>
      <c r="I107" s="7">
        <f t="shared" si="4"/>
        <v>10</v>
      </c>
      <c r="J107" s="7">
        <f t="shared" si="6"/>
        <v>30</v>
      </c>
      <c r="K107" s="578"/>
      <c r="L107" s="610"/>
      <c r="M107" s="189"/>
      <c r="N107" s="229">
        <v>5</v>
      </c>
      <c r="O107" s="229">
        <v>1</v>
      </c>
      <c r="P107" s="229"/>
      <c r="Q107" s="229"/>
      <c r="R107" s="229"/>
      <c r="S107" s="7">
        <f t="shared" si="5"/>
        <v>6</v>
      </c>
      <c r="T107" s="7">
        <f t="shared" si="7"/>
        <v>24</v>
      </c>
      <c r="U107" s="578"/>
      <c r="V107" s="603"/>
    </row>
    <row r="108" spans="1:26">
      <c r="A108" s="81">
        <v>0.63888888888888795</v>
      </c>
      <c r="B108" s="83">
        <v>0.64236111111111005</v>
      </c>
      <c r="C108" s="189"/>
      <c r="D108" s="229">
        <v>10</v>
      </c>
      <c r="E108" s="229">
        <v>1</v>
      </c>
      <c r="F108" s="229"/>
      <c r="G108" s="229"/>
      <c r="H108" s="229"/>
      <c r="I108" s="7">
        <f t="shared" si="4"/>
        <v>11</v>
      </c>
      <c r="J108" s="7">
        <f t="shared" si="6"/>
        <v>32</v>
      </c>
      <c r="K108" s="578"/>
      <c r="L108" s="610"/>
      <c r="M108" s="189"/>
      <c r="N108" s="229">
        <v>11</v>
      </c>
      <c r="O108" s="229"/>
      <c r="P108" s="229"/>
      <c r="Q108" s="229"/>
      <c r="R108" s="229"/>
      <c r="S108" s="7">
        <f t="shared" si="5"/>
        <v>11</v>
      </c>
      <c r="T108" s="7">
        <f t="shared" si="7"/>
        <v>29</v>
      </c>
      <c r="U108" s="578"/>
      <c r="V108" s="603"/>
    </row>
    <row r="109" spans="1:26">
      <c r="A109" s="81">
        <v>0.64236111111111005</v>
      </c>
      <c r="B109" s="82">
        <v>0.64583333333333204</v>
      </c>
      <c r="C109" s="189"/>
      <c r="D109" s="229">
        <v>13</v>
      </c>
      <c r="E109" s="229">
        <v>1</v>
      </c>
      <c r="F109" s="229"/>
      <c r="G109" s="229"/>
      <c r="H109" s="229"/>
      <c r="I109" s="7">
        <f t="shared" si="4"/>
        <v>14</v>
      </c>
      <c r="J109" s="7">
        <f t="shared" si="6"/>
        <v>35</v>
      </c>
      <c r="K109" s="578"/>
      <c r="L109" s="610"/>
      <c r="M109" s="189"/>
      <c r="N109" s="229">
        <v>5</v>
      </c>
      <c r="O109" s="229"/>
      <c r="P109" s="229"/>
      <c r="Q109" s="229"/>
      <c r="R109" s="229"/>
      <c r="S109" s="7">
        <f t="shared" si="5"/>
        <v>5</v>
      </c>
      <c r="T109" s="7">
        <f t="shared" si="7"/>
        <v>22</v>
      </c>
      <c r="U109" s="578"/>
      <c r="V109" s="603"/>
    </row>
    <row r="110" spans="1:26">
      <c r="A110" s="81">
        <v>0.64583333333333204</v>
      </c>
      <c r="B110" s="83">
        <v>0.64930555555555403</v>
      </c>
      <c r="C110" s="189"/>
      <c r="D110" s="229">
        <v>12</v>
      </c>
      <c r="E110" s="229"/>
      <c r="F110" s="229">
        <v>1</v>
      </c>
      <c r="G110" s="229"/>
      <c r="H110" s="229"/>
      <c r="I110" s="7">
        <f t="shared" si="4"/>
        <v>13</v>
      </c>
      <c r="J110" s="7">
        <f t="shared" si="6"/>
        <v>38</v>
      </c>
      <c r="K110" s="578"/>
      <c r="L110" s="610"/>
      <c r="M110" s="189"/>
      <c r="N110" s="229">
        <v>11</v>
      </c>
      <c r="O110" s="229"/>
      <c r="P110" s="229"/>
      <c r="Q110" s="229"/>
      <c r="R110" s="229"/>
      <c r="S110" s="7">
        <f t="shared" si="5"/>
        <v>11</v>
      </c>
      <c r="T110" s="7">
        <f t="shared" si="7"/>
        <v>27</v>
      </c>
      <c r="U110" s="578"/>
      <c r="V110" s="603"/>
    </row>
    <row r="111" spans="1:26">
      <c r="A111" s="81">
        <v>0.64930555555555503</v>
      </c>
      <c r="B111" s="82">
        <v>0.65277777777777701</v>
      </c>
      <c r="C111" s="189"/>
      <c r="D111" s="229">
        <v>10</v>
      </c>
      <c r="E111" s="229"/>
      <c r="F111" s="229"/>
      <c r="G111" s="229"/>
      <c r="H111" s="229"/>
      <c r="I111" s="7">
        <f t="shared" si="4"/>
        <v>10</v>
      </c>
      <c r="J111" s="7">
        <f t="shared" si="6"/>
        <v>37</v>
      </c>
      <c r="K111" s="578"/>
      <c r="L111" s="610"/>
      <c r="M111" s="189">
        <v>1</v>
      </c>
      <c r="N111" s="229">
        <v>9</v>
      </c>
      <c r="O111" s="229">
        <v>2</v>
      </c>
      <c r="P111" s="229"/>
      <c r="Q111" s="229"/>
      <c r="R111" s="229"/>
      <c r="S111" s="7">
        <f t="shared" si="5"/>
        <v>12</v>
      </c>
      <c r="T111" s="7">
        <f t="shared" si="7"/>
        <v>28</v>
      </c>
      <c r="U111" s="578"/>
      <c r="V111" s="603"/>
    </row>
    <row r="112" spans="1:26">
      <c r="A112" s="81">
        <v>0.65277777777777701</v>
      </c>
      <c r="B112" s="83">
        <v>0.656249999999999</v>
      </c>
      <c r="C112" s="189"/>
      <c r="D112" s="229">
        <v>13</v>
      </c>
      <c r="E112" s="229">
        <v>2</v>
      </c>
      <c r="F112" s="229"/>
      <c r="G112" s="229"/>
      <c r="H112" s="229"/>
      <c r="I112" s="7">
        <f t="shared" si="4"/>
        <v>15</v>
      </c>
      <c r="J112" s="7">
        <f t="shared" si="6"/>
        <v>38</v>
      </c>
      <c r="K112" s="578"/>
      <c r="L112" s="610"/>
      <c r="M112" s="189"/>
      <c r="N112" s="229">
        <v>15</v>
      </c>
      <c r="O112" s="229"/>
      <c r="P112" s="229"/>
      <c r="Q112" s="229"/>
      <c r="R112" s="229"/>
      <c r="S112" s="7">
        <f t="shared" si="5"/>
        <v>15</v>
      </c>
      <c r="T112" s="7">
        <f t="shared" si="7"/>
        <v>38</v>
      </c>
      <c r="U112" s="578"/>
      <c r="V112" s="603"/>
    </row>
    <row r="113" spans="1:26">
      <c r="A113" s="81">
        <v>0.656249999999999</v>
      </c>
      <c r="B113" s="82">
        <v>0.65972222222222099</v>
      </c>
      <c r="C113" s="189"/>
      <c r="D113" s="229">
        <v>12</v>
      </c>
      <c r="E113" s="229"/>
      <c r="F113" s="229"/>
      <c r="G113" s="229"/>
      <c r="H113" s="229"/>
      <c r="I113" s="7">
        <f t="shared" si="4"/>
        <v>12</v>
      </c>
      <c r="J113" s="7">
        <f t="shared" si="6"/>
        <v>37</v>
      </c>
      <c r="K113" s="578"/>
      <c r="L113" s="610"/>
      <c r="M113" s="189"/>
      <c r="N113" s="229">
        <v>12</v>
      </c>
      <c r="O113" s="229"/>
      <c r="P113" s="229"/>
      <c r="Q113" s="229"/>
      <c r="R113" s="229"/>
      <c r="S113" s="7">
        <f t="shared" si="5"/>
        <v>12</v>
      </c>
      <c r="T113" s="7">
        <f t="shared" si="7"/>
        <v>39</v>
      </c>
      <c r="U113" s="578"/>
      <c r="V113" s="603"/>
    </row>
    <row r="114" spans="1:26">
      <c r="A114" s="81">
        <v>0.65972222222222099</v>
      </c>
      <c r="B114" s="83">
        <v>0.66319444444444298</v>
      </c>
      <c r="C114" s="189"/>
      <c r="D114" s="229">
        <v>16</v>
      </c>
      <c r="E114" s="229"/>
      <c r="F114" s="229"/>
      <c r="G114" s="229"/>
      <c r="H114" s="229"/>
      <c r="I114" s="7">
        <f t="shared" si="4"/>
        <v>16</v>
      </c>
      <c r="J114" s="7">
        <f t="shared" si="6"/>
        <v>43</v>
      </c>
      <c r="K114" s="578"/>
      <c r="L114" s="610"/>
      <c r="M114" s="189">
        <v>1</v>
      </c>
      <c r="N114" s="229">
        <v>6</v>
      </c>
      <c r="O114" s="229"/>
      <c r="P114" s="229"/>
      <c r="Q114" s="229"/>
      <c r="R114" s="229"/>
      <c r="S114" s="7">
        <f t="shared" si="5"/>
        <v>7</v>
      </c>
      <c r="T114" s="7">
        <f t="shared" si="7"/>
        <v>34</v>
      </c>
      <c r="U114" s="578"/>
      <c r="V114" s="603"/>
    </row>
    <row r="115" spans="1:26" ht="15.75" thickBot="1">
      <c r="A115" s="86">
        <v>0.66319444444444298</v>
      </c>
      <c r="B115" s="87">
        <v>0.66666666666666496</v>
      </c>
      <c r="C115" s="179"/>
      <c r="D115" s="31">
        <v>14</v>
      </c>
      <c r="E115" s="31">
        <v>1</v>
      </c>
      <c r="F115" s="31"/>
      <c r="G115" s="31"/>
      <c r="H115" s="31"/>
      <c r="I115" s="261">
        <f t="shared" si="4"/>
        <v>15</v>
      </c>
      <c r="J115" s="32">
        <f t="shared" si="6"/>
        <v>43</v>
      </c>
      <c r="K115" s="579"/>
      <c r="L115" s="611"/>
      <c r="M115" s="190"/>
      <c r="N115" s="155">
        <v>9</v>
      </c>
      <c r="O115" s="155">
        <v>1</v>
      </c>
      <c r="P115" s="155"/>
      <c r="Q115" s="155"/>
      <c r="R115" s="155"/>
      <c r="S115" s="261">
        <f t="shared" si="5"/>
        <v>10</v>
      </c>
      <c r="T115" s="22">
        <f t="shared" si="7"/>
        <v>29</v>
      </c>
      <c r="U115" s="579"/>
      <c r="V115" s="604"/>
    </row>
    <row r="116" spans="1:26">
      <c r="A116" s="79">
        <v>0.66666666666666596</v>
      </c>
      <c r="B116" s="80">
        <v>0.67013888888888795</v>
      </c>
      <c r="C116" s="157">
        <v>1</v>
      </c>
      <c r="D116" s="152">
        <v>11</v>
      </c>
      <c r="E116" s="152">
        <v>1</v>
      </c>
      <c r="F116" s="152">
        <v>1</v>
      </c>
      <c r="G116" s="152"/>
      <c r="H116" s="152"/>
      <c r="I116" s="68">
        <f t="shared" si="4"/>
        <v>14</v>
      </c>
      <c r="J116" s="5">
        <f t="shared" si="6"/>
        <v>45</v>
      </c>
      <c r="K116" s="577">
        <f>+SUM(I116:I127)</f>
        <v>124</v>
      </c>
      <c r="L116" s="609">
        <f>+K116/(4*MAX(J118:J127))</f>
        <v>0.88571428571428568</v>
      </c>
      <c r="M116" s="174"/>
      <c r="N116" s="25">
        <v>8</v>
      </c>
      <c r="O116" s="25">
        <v>1</v>
      </c>
      <c r="P116" s="25"/>
      <c r="Q116" s="25"/>
      <c r="R116" s="25"/>
      <c r="S116" s="68">
        <f t="shared" si="5"/>
        <v>9</v>
      </c>
      <c r="T116" s="6">
        <f t="shared" si="7"/>
        <v>26</v>
      </c>
      <c r="U116" s="577">
        <f>+SUM(S116:S127)</f>
        <v>126</v>
      </c>
      <c r="V116" s="602">
        <f>+U116/(4*MAX(T118:T127))</f>
        <v>0.82894736842105265</v>
      </c>
      <c r="Y116" s="138">
        <f>SUM(H116:H127)</f>
        <v>0</v>
      </c>
      <c r="Z116" s="138">
        <f>SUM(R116:R127)</f>
        <v>0</v>
      </c>
    </row>
    <row r="117" spans="1:26">
      <c r="A117" s="81">
        <v>0.67013888888888795</v>
      </c>
      <c r="B117" s="82">
        <v>0.67361111111111005</v>
      </c>
      <c r="C117" s="189"/>
      <c r="D117" s="229">
        <v>1</v>
      </c>
      <c r="E117" s="229"/>
      <c r="F117" s="229"/>
      <c r="G117" s="229"/>
      <c r="H117" s="229"/>
      <c r="I117" s="7">
        <f t="shared" si="4"/>
        <v>1</v>
      </c>
      <c r="J117" s="7">
        <f t="shared" si="6"/>
        <v>30</v>
      </c>
      <c r="K117" s="578"/>
      <c r="L117" s="610"/>
      <c r="M117" s="189"/>
      <c r="N117" s="229">
        <v>8</v>
      </c>
      <c r="O117" s="229"/>
      <c r="P117" s="229">
        <v>1</v>
      </c>
      <c r="Q117" s="229"/>
      <c r="R117" s="229"/>
      <c r="S117" s="7">
        <f t="shared" si="5"/>
        <v>9</v>
      </c>
      <c r="T117" s="7">
        <f t="shared" si="7"/>
        <v>28</v>
      </c>
      <c r="U117" s="578"/>
      <c r="V117" s="603"/>
    </row>
    <row r="118" spans="1:26">
      <c r="A118" s="81">
        <v>0.67361111111111005</v>
      </c>
      <c r="B118" s="83">
        <v>0.67708333333333204</v>
      </c>
      <c r="C118" s="189">
        <v>1</v>
      </c>
      <c r="D118" s="229">
        <v>9</v>
      </c>
      <c r="E118" s="229">
        <v>2</v>
      </c>
      <c r="F118" s="229"/>
      <c r="G118" s="229"/>
      <c r="H118" s="229"/>
      <c r="I118" s="7">
        <f t="shared" si="4"/>
        <v>12</v>
      </c>
      <c r="J118" s="7">
        <f t="shared" si="6"/>
        <v>27</v>
      </c>
      <c r="K118" s="578"/>
      <c r="L118" s="610"/>
      <c r="M118" s="189"/>
      <c r="N118" s="229">
        <v>7</v>
      </c>
      <c r="O118" s="229"/>
      <c r="P118" s="229"/>
      <c r="Q118" s="229"/>
      <c r="R118" s="229"/>
      <c r="S118" s="7">
        <f t="shared" si="5"/>
        <v>7</v>
      </c>
      <c r="T118" s="7">
        <f t="shared" si="7"/>
        <v>25</v>
      </c>
      <c r="U118" s="578"/>
      <c r="V118" s="603"/>
    </row>
    <row r="119" spans="1:26">
      <c r="A119" s="81">
        <v>0.67708333333333204</v>
      </c>
      <c r="B119" s="82">
        <v>0.68055555555555403</v>
      </c>
      <c r="C119" s="189"/>
      <c r="D119" s="229">
        <v>9</v>
      </c>
      <c r="E119" s="229"/>
      <c r="F119" s="229"/>
      <c r="G119" s="229"/>
      <c r="H119" s="229"/>
      <c r="I119" s="7">
        <f t="shared" si="4"/>
        <v>9</v>
      </c>
      <c r="J119" s="7">
        <f t="shared" si="6"/>
        <v>22</v>
      </c>
      <c r="K119" s="578"/>
      <c r="L119" s="610"/>
      <c r="M119" s="189"/>
      <c r="N119" s="229">
        <v>8</v>
      </c>
      <c r="O119" s="229">
        <v>2</v>
      </c>
      <c r="P119" s="229">
        <v>1</v>
      </c>
      <c r="Q119" s="229"/>
      <c r="R119" s="229"/>
      <c r="S119" s="7">
        <f t="shared" si="5"/>
        <v>11</v>
      </c>
      <c r="T119" s="7">
        <f t="shared" si="7"/>
        <v>27</v>
      </c>
      <c r="U119" s="578"/>
      <c r="V119" s="603"/>
    </row>
    <row r="120" spans="1:26">
      <c r="A120" s="81">
        <v>0.68055555555555503</v>
      </c>
      <c r="B120" s="83">
        <v>0.68402777777777701</v>
      </c>
      <c r="C120" s="189"/>
      <c r="D120" s="229">
        <v>10</v>
      </c>
      <c r="E120" s="229"/>
      <c r="F120" s="229"/>
      <c r="G120" s="229"/>
      <c r="H120" s="229"/>
      <c r="I120" s="7">
        <f t="shared" si="4"/>
        <v>10</v>
      </c>
      <c r="J120" s="7">
        <f t="shared" si="6"/>
        <v>31</v>
      </c>
      <c r="K120" s="578"/>
      <c r="L120" s="610"/>
      <c r="M120" s="189"/>
      <c r="N120" s="229">
        <v>11</v>
      </c>
      <c r="O120" s="229">
        <v>1</v>
      </c>
      <c r="P120" s="229"/>
      <c r="Q120" s="229"/>
      <c r="R120" s="229"/>
      <c r="S120" s="7">
        <f t="shared" si="5"/>
        <v>12</v>
      </c>
      <c r="T120" s="7">
        <f t="shared" si="7"/>
        <v>30</v>
      </c>
      <c r="U120" s="578"/>
      <c r="V120" s="603"/>
    </row>
    <row r="121" spans="1:26">
      <c r="A121" s="81">
        <v>0.68402777777777701</v>
      </c>
      <c r="B121" s="82">
        <v>0.687499999999999</v>
      </c>
      <c r="C121" s="189"/>
      <c r="D121" s="229">
        <v>12</v>
      </c>
      <c r="E121" s="229">
        <v>2</v>
      </c>
      <c r="F121" s="229"/>
      <c r="G121" s="229"/>
      <c r="H121" s="229"/>
      <c r="I121" s="7">
        <f t="shared" si="4"/>
        <v>14</v>
      </c>
      <c r="J121" s="7">
        <f t="shared" si="6"/>
        <v>33</v>
      </c>
      <c r="K121" s="578"/>
      <c r="L121" s="610"/>
      <c r="M121" s="189"/>
      <c r="N121" s="229">
        <v>10</v>
      </c>
      <c r="O121" s="229"/>
      <c r="P121" s="229"/>
      <c r="Q121" s="229"/>
      <c r="R121" s="229"/>
      <c r="S121" s="7">
        <f t="shared" si="5"/>
        <v>10</v>
      </c>
      <c r="T121" s="7">
        <f t="shared" si="7"/>
        <v>33</v>
      </c>
      <c r="U121" s="578"/>
      <c r="V121" s="603"/>
    </row>
    <row r="122" spans="1:26">
      <c r="A122" s="81">
        <v>0.687499999999999</v>
      </c>
      <c r="B122" s="83">
        <v>0.69097222222222099</v>
      </c>
      <c r="C122" s="189"/>
      <c r="D122" s="229">
        <v>7</v>
      </c>
      <c r="E122" s="229"/>
      <c r="F122" s="229"/>
      <c r="G122" s="229"/>
      <c r="H122" s="229"/>
      <c r="I122" s="7">
        <f t="shared" si="4"/>
        <v>7</v>
      </c>
      <c r="J122" s="7">
        <f t="shared" si="6"/>
        <v>31</v>
      </c>
      <c r="K122" s="578"/>
      <c r="L122" s="610"/>
      <c r="M122" s="189"/>
      <c r="N122" s="229">
        <v>9</v>
      </c>
      <c r="O122" s="229"/>
      <c r="P122" s="229">
        <v>1</v>
      </c>
      <c r="Q122" s="229"/>
      <c r="R122" s="229"/>
      <c r="S122" s="7">
        <f t="shared" si="5"/>
        <v>10</v>
      </c>
      <c r="T122" s="7">
        <f t="shared" si="7"/>
        <v>32</v>
      </c>
      <c r="U122" s="578"/>
      <c r="V122" s="603"/>
    </row>
    <row r="123" spans="1:26">
      <c r="A123" s="81">
        <v>0.69097222222222099</v>
      </c>
      <c r="B123" s="82">
        <v>0.69444444444444298</v>
      </c>
      <c r="C123" s="189"/>
      <c r="D123" s="229">
        <v>12</v>
      </c>
      <c r="E123" s="229"/>
      <c r="F123" s="229"/>
      <c r="G123" s="229"/>
      <c r="H123" s="229"/>
      <c r="I123" s="7">
        <f t="shared" si="4"/>
        <v>12</v>
      </c>
      <c r="J123" s="7">
        <f t="shared" si="6"/>
        <v>33</v>
      </c>
      <c r="K123" s="578"/>
      <c r="L123" s="610"/>
      <c r="M123" s="189"/>
      <c r="N123" s="229">
        <v>10</v>
      </c>
      <c r="O123" s="229">
        <v>2</v>
      </c>
      <c r="P123" s="229"/>
      <c r="Q123" s="229"/>
      <c r="R123" s="229"/>
      <c r="S123" s="7">
        <f t="shared" si="5"/>
        <v>12</v>
      </c>
      <c r="T123" s="7">
        <f t="shared" si="7"/>
        <v>32</v>
      </c>
      <c r="U123" s="578"/>
      <c r="V123" s="603"/>
    </row>
    <row r="124" spans="1:26">
      <c r="A124" s="81">
        <v>0.69444444444444298</v>
      </c>
      <c r="B124" s="83">
        <v>0.69791666666666496</v>
      </c>
      <c r="C124" s="189"/>
      <c r="D124" s="229">
        <v>8</v>
      </c>
      <c r="E124" s="229">
        <v>2</v>
      </c>
      <c r="F124" s="229"/>
      <c r="G124" s="229"/>
      <c r="H124" s="229"/>
      <c r="I124" s="7">
        <f t="shared" si="4"/>
        <v>10</v>
      </c>
      <c r="J124" s="7">
        <f t="shared" si="6"/>
        <v>29</v>
      </c>
      <c r="K124" s="578"/>
      <c r="L124" s="610"/>
      <c r="M124" s="189"/>
      <c r="N124" s="229">
        <v>12</v>
      </c>
      <c r="O124" s="229"/>
      <c r="P124" s="229"/>
      <c r="Q124" s="229"/>
      <c r="R124" s="229"/>
      <c r="S124" s="7">
        <f t="shared" si="5"/>
        <v>12</v>
      </c>
      <c r="T124" s="7">
        <f t="shared" si="7"/>
        <v>34</v>
      </c>
      <c r="U124" s="578"/>
      <c r="V124" s="603"/>
    </row>
    <row r="125" spans="1:26">
      <c r="A125" s="81">
        <v>0.69791666666666596</v>
      </c>
      <c r="B125" s="82">
        <v>0.70138888888888795</v>
      </c>
      <c r="C125" s="189"/>
      <c r="D125" s="229">
        <v>10</v>
      </c>
      <c r="E125" s="229"/>
      <c r="F125" s="229">
        <v>1</v>
      </c>
      <c r="G125" s="229"/>
      <c r="H125" s="229"/>
      <c r="I125" s="7">
        <f t="shared" si="4"/>
        <v>11</v>
      </c>
      <c r="J125" s="7">
        <f t="shared" si="6"/>
        <v>33</v>
      </c>
      <c r="K125" s="578"/>
      <c r="L125" s="610"/>
      <c r="M125" s="189"/>
      <c r="N125" s="229">
        <v>14</v>
      </c>
      <c r="O125" s="229"/>
      <c r="P125" s="229"/>
      <c r="Q125" s="229"/>
      <c r="R125" s="229"/>
      <c r="S125" s="7">
        <f t="shared" si="5"/>
        <v>14</v>
      </c>
      <c r="T125" s="7">
        <f t="shared" si="7"/>
        <v>38</v>
      </c>
      <c r="U125" s="578"/>
      <c r="V125" s="603"/>
    </row>
    <row r="126" spans="1:26">
      <c r="A126" s="81">
        <v>0.70138888888888795</v>
      </c>
      <c r="B126" s="83">
        <v>0.70486111111111005</v>
      </c>
      <c r="C126" s="189">
        <v>1</v>
      </c>
      <c r="D126" s="229">
        <v>10</v>
      </c>
      <c r="E126" s="229"/>
      <c r="F126" s="229"/>
      <c r="G126" s="229"/>
      <c r="H126" s="229"/>
      <c r="I126" s="7">
        <f t="shared" si="4"/>
        <v>11</v>
      </c>
      <c r="J126" s="7">
        <f t="shared" si="6"/>
        <v>32</v>
      </c>
      <c r="K126" s="578"/>
      <c r="L126" s="610"/>
      <c r="M126" s="189"/>
      <c r="N126" s="229">
        <v>11</v>
      </c>
      <c r="O126" s="229">
        <v>1</v>
      </c>
      <c r="P126" s="229"/>
      <c r="Q126" s="229"/>
      <c r="R126" s="229"/>
      <c r="S126" s="7">
        <f t="shared" si="5"/>
        <v>12</v>
      </c>
      <c r="T126" s="7">
        <f t="shared" si="7"/>
        <v>38</v>
      </c>
      <c r="U126" s="578"/>
      <c r="V126" s="603"/>
    </row>
    <row r="127" spans="1:26" ht="15.75" thickBot="1">
      <c r="A127" s="84">
        <v>0.70486111111111005</v>
      </c>
      <c r="B127" s="85">
        <v>0.70833333333333204</v>
      </c>
      <c r="C127" s="190"/>
      <c r="D127" s="155">
        <v>11</v>
      </c>
      <c r="E127" s="155">
        <v>1</v>
      </c>
      <c r="F127" s="155">
        <v>1</v>
      </c>
      <c r="G127" s="155"/>
      <c r="H127" s="155"/>
      <c r="I127" s="261">
        <f t="shared" si="4"/>
        <v>13</v>
      </c>
      <c r="J127" s="22">
        <f t="shared" si="6"/>
        <v>35</v>
      </c>
      <c r="K127" s="579"/>
      <c r="L127" s="611"/>
      <c r="M127" s="179"/>
      <c r="N127" s="31">
        <v>6</v>
      </c>
      <c r="O127" s="31">
        <v>1</v>
      </c>
      <c r="P127" s="31">
        <v>1</v>
      </c>
      <c r="Q127" s="31"/>
      <c r="R127" s="31"/>
      <c r="S127" s="261">
        <f t="shared" si="5"/>
        <v>8</v>
      </c>
      <c r="T127" s="32">
        <f t="shared" si="7"/>
        <v>34</v>
      </c>
      <c r="U127" s="579"/>
      <c r="V127" s="604"/>
    </row>
    <row r="128" spans="1:26">
      <c r="A128" s="81">
        <v>0.70833333333333204</v>
      </c>
      <c r="B128" s="83">
        <v>0.71180555555555403</v>
      </c>
      <c r="C128" s="174"/>
      <c r="D128" s="25">
        <v>11</v>
      </c>
      <c r="E128" s="25">
        <v>1</v>
      </c>
      <c r="F128" s="25"/>
      <c r="G128" s="25"/>
      <c r="H128" s="25"/>
      <c r="I128" s="68">
        <f t="shared" si="4"/>
        <v>12</v>
      </c>
      <c r="J128" s="6">
        <f t="shared" si="6"/>
        <v>36</v>
      </c>
      <c r="K128" s="577">
        <f>+SUM(I128:I139)</f>
        <v>132</v>
      </c>
      <c r="L128" s="609">
        <f>+K128/(4*MAX(J130:J139))</f>
        <v>0.91666666666666663</v>
      </c>
      <c r="M128" s="157"/>
      <c r="N128" s="152">
        <v>9</v>
      </c>
      <c r="O128" s="152"/>
      <c r="P128" s="152"/>
      <c r="Q128" s="152"/>
      <c r="R128" s="152"/>
      <c r="S128" s="68">
        <f t="shared" si="5"/>
        <v>9</v>
      </c>
      <c r="T128" s="5">
        <f t="shared" si="7"/>
        <v>29</v>
      </c>
      <c r="U128" s="577">
        <f>+SUM(S128:S139)</f>
        <v>123</v>
      </c>
      <c r="V128" s="602">
        <f>+U128/(4*MAX(T130:T139))</f>
        <v>0.83108108108108103</v>
      </c>
      <c r="Y128" s="138">
        <f>SUM(H128:H139)</f>
        <v>0</v>
      </c>
      <c r="Z128" s="138">
        <f>SUM(R128:R139)</f>
        <v>0</v>
      </c>
    </row>
    <row r="129" spans="1:26">
      <c r="A129" s="81">
        <v>0.71180555555555403</v>
      </c>
      <c r="B129" s="82">
        <v>0.71527777777777601</v>
      </c>
      <c r="C129" s="189">
        <v>1</v>
      </c>
      <c r="D129" s="229">
        <v>10</v>
      </c>
      <c r="E129" s="229"/>
      <c r="F129" s="229"/>
      <c r="G129" s="229"/>
      <c r="H129" s="229"/>
      <c r="I129" s="7">
        <f t="shared" si="4"/>
        <v>11</v>
      </c>
      <c r="J129" s="7">
        <f t="shared" si="6"/>
        <v>36</v>
      </c>
      <c r="K129" s="578"/>
      <c r="L129" s="610"/>
      <c r="M129" s="189"/>
      <c r="N129" s="229">
        <v>10</v>
      </c>
      <c r="O129" s="229"/>
      <c r="P129" s="71">
        <v>1</v>
      </c>
      <c r="Q129" s="71"/>
      <c r="R129" s="71"/>
      <c r="S129" s="7">
        <f t="shared" si="5"/>
        <v>11</v>
      </c>
      <c r="T129" s="7">
        <f t="shared" si="7"/>
        <v>28</v>
      </c>
      <c r="U129" s="578"/>
      <c r="V129" s="603"/>
    </row>
    <row r="130" spans="1:26">
      <c r="A130" s="81">
        <v>0.71527777777777701</v>
      </c>
      <c r="B130" s="83">
        <v>0.718749999999999</v>
      </c>
      <c r="C130" s="189">
        <v>1</v>
      </c>
      <c r="D130" s="229">
        <v>10</v>
      </c>
      <c r="E130" s="229">
        <v>2</v>
      </c>
      <c r="F130" s="229"/>
      <c r="G130" s="229"/>
      <c r="H130" s="229"/>
      <c r="I130" s="7">
        <f t="shared" si="4"/>
        <v>13</v>
      </c>
      <c r="J130" s="7">
        <f t="shared" si="6"/>
        <v>36</v>
      </c>
      <c r="K130" s="578"/>
      <c r="L130" s="610"/>
      <c r="M130" s="189">
        <v>1</v>
      </c>
      <c r="N130" s="229">
        <v>10</v>
      </c>
      <c r="O130" s="229"/>
      <c r="P130" s="71"/>
      <c r="Q130" s="71"/>
      <c r="R130" s="71"/>
      <c r="S130" s="7">
        <f t="shared" si="5"/>
        <v>11</v>
      </c>
      <c r="T130" s="7">
        <f t="shared" si="7"/>
        <v>31</v>
      </c>
      <c r="U130" s="578"/>
      <c r="V130" s="603"/>
    </row>
    <row r="131" spans="1:26">
      <c r="A131" s="81">
        <v>0.718749999999999</v>
      </c>
      <c r="B131" s="82">
        <v>0.72222222222222099</v>
      </c>
      <c r="C131" s="189"/>
      <c r="D131" s="229">
        <v>9</v>
      </c>
      <c r="E131" s="229"/>
      <c r="F131" s="229">
        <v>1</v>
      </c>
      <c r="G131" s="229"/>
      <c r="H131" s="229"/>
      <c r="I131" s="7">
        <f t="shared" si="4"/>
        <v>10</v>
      </c>
      <c r="J131" s="7">
        <f t="shared" si="6"/>
        <v>34</v>
      </c>
      <c r="K131" s="578"/>
      <c r="L131" s="610"/>
      <c r="M131" s="189">
        <v>1</v>
      </c>
      <c r="N131" s="229">
        <v>6</v>
      </c>
      <c r="O131" s="229">
        <v>1</v>
      </c>
      <c r="P131" s="71"/>
      <c r="Q131" s="71"/>
      <c r="R131" s="71"/>
      <c r="S131" s="7">
        <f t="shared" si="5"/>
        <v>8</v>
      </c>
      <c r="T131" s="7">
        <f t="shared" si="7"/>
        <v>30</v>
      </c>
      <c r="U131" s="578"/>
      <c r="V131" s="603"/>
    </row>
    <row r="132" spans="1:26">
      <c r="A132" s="81">
        <v>0.72222222222222099</v>
      </c>
      <c r="B132" s="83">
        <v>0.72569444444444298</v>
      </c>
      <c r="C132" s="189"/>
      <c r="D132" s="229">
        <v>9</v>
      </c>
      <c r="E132" s="229"/>
      <c r="F132" s="229"/>
      <c r="G132" s="229"/>
      <c r="H132" s="229"/>
      <c r="I132" s="7">
        <f t="shared" si="4"/>
        <v>9</v>
      </c>
      <c r="J132" s="7">
        <f t="shared" si="6"/>
        <v>32</v>
      </c>
      <c r="K132" s="578"/>
      <c r="L132" s="610"/>
      <c r="M132" s="189"/>
      <c r="N132" s="229">
        <v>6</v>
      </c>
      <c r="O132" s="229">
        <v>1</v>
      </c>
      <c r="P132" s="71"/>
      <c r="Q132" s="71"/>
      <c r="R132" s="71"/>
      <c r="S132" s="7">
        <f t="shared" si="5"/>
        <v>7</v>
      </c>
      <c r="T132" s="7">
        <f t="shared" si="7"/>
        <v>26</v>
      </c>
      <c r="U132" s="578"/>
      <c r="V132" s="603"/>
    </row>
    <row r="133" spans="1:26">
      <c r="A133" s="81">
        <v>0.72569444444444298</v>
      </c>
      <c r="B133" s="82">
        <v>0.72916666666666496</v>
      </c>
      <c r="C133" s="189"/>
      <c r="D133" s="229">
        <v>10</v>
      </c>
      <c r="E133" s="229">
        <v>2</v>
      </c>
      <c r="F133" s="229"/>
      <c r="G133" s="229"/>
      <c r="H133" s="229"/>
      <c r="I133" s="7">
        <f t="shared" si="4"/>
        <v>12</v>
      </c>
      <c r="J133" s="7">
        <f t="shared" si="6"/>
        <v>31</v>
      </c>
      <c r="K133" s="578"/>
      <c r="L133" s="610"/>
      <c r="M133" s="189"/>
      <c r="N133" s="229">
        <v>9</v>
      </c>
      <c r="O133" s="229"/>
      <c r="P133" s="71"/>
      <c r="Q133" s="71"/>
      <c r="R133" s="71"/>
      <c r="S133" s="7">
        <f t="shared" si="5"/>
        <v>9</v>
      </c>
      <c r="T133" s="7">
        <f t="shared" si="7"/>
        <v>24</v>
      </c>
      <c r="U133" s="578"/>
      <c r="V133" s="603"/>
    </row>
    <row r="134" spans="1:26">
      <c r="A134" s="81">
        <v>0.72916666666666496</v>
      </c>
      <c r="B134" s="83">
        <v>0.73263888888888695</v>
      </c>
      <c r="C134" s="189"/>
      <c r="D134" s="229">
        <v>11</v>
      </c>
      <c r="E134" s="229"/>
      <c r="F134" s="229"/>
      <c r="G134" s="229"/>
      <c r="H134" s="229"/>
      <c r="I134" s="7">
        <f t="shared" si="4"/>
        <v>11</v>
      </c>
      <c r="J134" s="7">
        <f t="shared" si="6"/>
        <v>32</v>
      </c>
      <c r="K134" s="578"/>
      <c r="L134" s="610"/>
      <c r="M134" s="189"/>
      <c r="N134" s="229">
        <v>5</v>
      </c>
      <c r="O134" s="229">
        <v>1</v>
      </c>
      <c r="P134" s="71"/>
      <c r="Q134" s="71"/>
      <c r="R134" s="71"/>
      <c r="S134" s="7">
        <f t="shared" si="5"/>
        <v>6</v>
      </c>
      <c r="T134" s="7">
        <f t="shared" si="7"/>
        <v>22</v>
      </c>
      <c r="U134" s="578"/>
      <c r="V134" s="603"/>
    </row>
    <row r="135" spans="1:26">
      <c r="A135" s="81">
        <v>0.73263888888888795</v>
      </c>
      <c r="B135" s="82">
        <v>0.73611111111111005</v>
      </c>
      <c r="C135" s="189"/>
      <c r="D135" s="229">
        <v>11</v>
      </c>
      <c r="E135" s="229"/>
      <c r="F135" s="229">
        <v>1</v>
      </c>
      <c r="G135" s="229"/>
      <c r="H135" s="229"/>
      <c r="I135" s="7">
        <f t="shared" si="4"/>
        <v>12</v>
      </c>
      <c r="J135" s="7">
        <f t="shared" si="6"/>
        <v>35</v>
      </c>
      <c r="K135" s="578"/>
      <c r="L135" s="610"/>
      <c r="M135" s="189"/>
      <c r="N135" s="229">
        <v>10</v>
      </c>
      <c r="O135" s="229">
        <v>2</v>
      </c>
      <c r="P135" s="71">
        <v>1</v>
      </c>
      <c r="Q135" s="71"/>
      <c r="R135" s="71"/>
      <c r="S135" s="7">
        <f t="shared" si="5"/>
        <v>13</v>
      </c>
      <c r="T135" s="7">
        <f t="shared" si="7"/>
        <v>28</v>
      </c>
      <c r="U135" s="578"/>
      <c r="V135" s="603"/>
    </row>
    <row r="136" spans="1:26">
      <c r="A136" s="81">
        <v>0.73611111111111005</v>
      </c>
      <c r="B136" s="83">
        <v>0.73958333333333204</v>
      </c>
      <c r="C136" s="189"/>
      <c r="D136" s="229">
        <v>9</v>
      </c>
      <c r="E136" s="229">
        <v>1</v>
      </c>
      <c r="F136" s="229"/>
      <c r="G136" s="229"/>
      <c r="H136" s="229"/>
      <c r="I136" s="7">
        <f t="shared" si="4"/>
        <v>10</v>
      </c>
      <c r="J136" s="7">
        <f t="shared" si="6"/>
        <v>33</v>
      </c>
      <c r="K136" s="578"/>
      <c r="L136" s="610"/>
      <c r="M136" s="189">
        <v>1</v>
      </c>
      <c r="N136" s="229">
        <v>11</v>
      </c>
      <c r="O136" s="229"/>
      <c r="P136" s="71"/>
      <c r="Q136" s="71"/>
      <c r="R136" s="71"/>
      <c r="S136" s="7">
        <f t="shared" si="5"/>
        <v>12</v>
      </c>
      <c r="T136" s="7">
        <f t="shared" si="7"/>
        <v>31</v>
      </c>
      <c r="U136" s="578"/>
      <c r="V136" s="603"/>
    </row>
    <row r="137" spans="1:26">
      <c r="A137" s="81">
        <v>0.73958333333333204</v>
      </c>
      <c r="B137" s="82">
        <v>0.74305555555555403</v>
      </c>
      <c r="C137" s="189"/>
      <c r="D137" s="229">
        <v>10</v>
      </c>
      <c r="E137" s="229">
        <v>1</v>
      </c>
      <c r="F137" s="229"/>
      <c r="G137" s="229"/>
      <c r="H137" s="229"/>
      <c r="I137" s="7">
        <f t="shared" ref="I137:I151" si="8">C137+D137+$X$5*(E137+F137+G137+H137)</f>
        <v>11</v>
      </c>
      <c r="J137" s="7">
        <f t="shared" si="6"/>
        <v>33</v>
      </c>
      <c r="K137" s="578"/>
      <c r="L137" s="610"/>
      <c r="M137" s="189"/>
      <c r="N137" s="229">
        <v>12</v>
      </c>
      <c r="O137" s="229"/>
      <c r="P137" s="71"/>
      <c r="Q137" s="71"/>
      <c r="R137" s="71"/>
      <c r="S137" s="7">
        <f t="shared" ref="S137:S151" si="9">M137+N137+$X$5*(O137+P137+Q137+R137)</f>
        <v>12</v>
      </c>
      <c r="T137" s="7">
        <f t="shared" si="7"/>
        <v>37</v>
      </c>
      <c r="U137" s="578"/>
      <c r="V137" s="603"/>
    </row>
    <row r="138" spans="1:26">
      <c r="A138" s="81">
        <v>0.74305555555555403</v>
      </c>
      <c r="B138" s="83">
        <v>0.74652777777777601</v>
      </c>
      <c r="C138" s="189"/>
      <c r="D138" s="229">
        <v>9</v>
      </c>
      <c r="E138" s="229"/>
      <c r="F138" s="229"/>
      <c r="G138" s="229"/>
      <c r="H138" s="229"/>
      <c r="I138" s="7">
        <f t="shared" si="8"/>
        <v>9</v>
      </c>
      <c r="J138" s="7">
        <f t="shared" si="6"/>
        <v>30</v>
      </c>
      <c r="K138" s="578"/>
      <c r="L138" s="610"/>
      <c r="M138" s="189"/>
      <c r="N138" s="229">
        <v>10</v>
      </c>
      <c r="O138" s="229">
        <v>1</v>
      </c>
      <c r="P138" s="71"/>
      <c r="Q138" s="71"/>
      <c r="R138" s="71"/>
      <c r="S138" s="7">
        <f t="shared" si="9"/>
        <v>11</v>
      </c>
      <c r="T138" s="7">
        <f t="shared" si="7"/>
        <v>35</v>
      </c>
      <c r="U138" s="578"/>
      <c r="V138" s="603"/>
    </row>
    <row r="139" spans="1:26" ht="15.75" thickBot="1">
      <c r="A139" s="86">
        <v>0.74652777777777601</v>
      </c>
      <c r="B139" s="87">
        <v>0.749999999999998</v>
      </c>
      <c r="C139" s="179"/>
      <c r="D139" s="31">
        <v>11</v>
      </c>
      <c r="E139" s="31">
        <v>1</v>
      </c>
      <c r="F139" s="31"/>
      <c r="G139" s="31"/>
      <c r="H139" s="31"/>
      <c r="I139" s="261">
        <f t="shared" si="8"/>
        <v>12</v>
      </c>
      <c r="J139" s="32">
        <f>I137+I138+I139</f>
        <v>32</v>
      </c>
      <c r="K139" s="579"/>
      <c r="L139" s="611"/>
      <c r="M139" s="190"/>
      <c r="N139" s="155">
        <v>12</v>
      </c>
      <c r="O139" s="155">
        <v>2</v>
      </c>
      <c r="P139" s="155"/>
      <c r="Q139" s="155"/>
      <c r="R139" s="155"/>
      <c r="S139" s="261">
        <f t="shared" si="9"/>
        <v>14</v>
      </c>
      <c r="T139" s="22">
        <f>S137+S138+S139</f>
        <v>37</v>
      </c>
      <c r="U139" s="579"/>
      <c r="V139" s="604"/>
    </row>
    <row r="140" spans="1:26" ht="15" customHeight="1">
      <c r="A140" s="79">
        <v>0.749999999999999</v>
      </c>
      <c r="B140" s="80">
        <v>0.75347222222222099</v>
      </c>
      <c r="C140" s="157"/>
      <c r="D140" s="152">
        <v>10</v>
      </c>
      <c r="E140" s="152">
        <v>1</v>
      </c>
      <c r="F140" s="152"/>
      <c r="G140" s="152"/>
      <c r="H140" s="152"/>
      <c r="I140" s="68">
        <f t="shared" si="8"/>
        <v>11</v>
      </c>
      <c r="J140" s="5">
        <f>I138+I139+I140</f>
        <v>32</v>
      </c>
      <c r="K140" s="577">
        <f>+SUM(I140:I151)</f>
        <v>132</v>
      </c>
      <c r="L140" s="609">
        <f>+K140/(4*MAX(J142:J151))</f>
        <v>0.89189189189189189</v>
      </c>
      <c r="M140" s="157"/>
      <c r="N140" s="152">
        <v>9</v>
      </c>
      <c r="O140" s="152"/>
      <c r="P140" s="152"/>
      <c r="Q140" s="152"/>
      <c r="R140" s="152"/>
      <c r="S140" s="68">
        <f t="shared" si="9"/>
        <v>9</v>
      </c>
      <c r="T140" s="5">
        <f>S138+S139+S140</f>
        <v>34</v>
      </c>
      <c r="U140" s="577">
        <f>+SUM(S140:S151)</f>
        <v>122</v>
      </c>
      <c r="V140" s="602">
        <f>+U140/(4*MAX(T142:T151))</f>
        <v>0.87142857142857144</v>
      </c>
      <c r="Y140" s="138">
        <f>SUM(H140:H151)</f>
        <v>0</v>
      </c>
      <c r="Z140" s="138">
        <f>SUM(R140:R151)</f>
        <v>0</v>
      </c>
    </row>
    <row r="141" spans="1:26">
      <c r="A141" s="81">
        <v>0.75347222222222099</v>
      </c>
      <c r="B141" s="82">
        <v>0.75694444444444298</v>
      </c>
      <c r="C141" s="189">
        <v>1</v>
      </c>
      <c r="D141" s="229">
        <v>8</v>
      </c>
      <c r="E141" s="229"/>
      <c r="F141" s="229"/>
      <c r="G141" s="229"/>
      <c r="H141" s="229"/>
      <c r="I141" s="7">
        <f t="shared" si="8"/>
        <v>9</v>
      </c>
      <c r="J141" s="7">
        <f>I139+I140+I141</f>
        <v>32</v>
      </c>
      <c r="K141" s="578"/>
      <c r="L141" s="610"/>
      <c r="M141" s="189"/>
      <c r="N141" s="229">
        <v>9</v>
      </c>
      <c r="O141" s="229"/>
      <c r="P141" s="229">
        <v>1</v>
      </c>
      <c r="Q141" s="229"/>
      <c r="R141" s="229"/>
      <c r="S141" s="7">
        <f t="shared" si="9"/>
        <v>10</v>
      </c>
      <c r="T141" s="7">
        <f>S139+S140+S141</f>
        <v>33</v>
      </c>
      <c r="U141" s="578"/>
      <c r="V141" s="603"/>
    </row>
    <row r="142" spans="1:26">
      <c r="A142" s="81">
        <v>0.75694444444444298</v>
      </c>
      <c r="B142" s="83">
        <v>0.76041666666666496</v>
      </c>
      <c r="C142" s="189"/>
      <c r="D142" s="229">
        <v>10</v>
      </c>
      <c r="E142" s="229">
        <v>2</v>
      </c>
      <c r="F142" s="229"/>
      <c r="G142" s="229"/>
      <c r="H142" s="229"/>
      <c r="I142" s="7">
        <f t="shared" si="8"/>
        <v>12</v>
      </c>
      <c r="J142" s="7">
        <f>I140+I141+I142</f>
        <v>32</v>
      </c>
      <c r="K142" s="578"/>
      <c r="L142" s="610"/>
      <c r="M142" s="189"/>
      <c r="N142" s="229">
        <v>11</v>
      </c>
      <c r="O142" s="229">
        <v>1</v>
      </c>
      <c r="P142" s="229"/>
      <c r="Q142" s="229"/>
      <c r="R142" s="229"/>
      <c r="S142" s="7">
        <f t="shared" si="9"/>
        <v>12</v>
      </c>
      <c r="T142" s="7">
        <f>S140+S141+S142</f>
        <v>31</v>
      </c>
      <c r="U142" s="578"/>
      <c r="V142" s="603"/>
    </row>
    <row r="143" spans="1:26">
      <c r="A143" s="81">
        <v>0.76041666666666496</v>
      </c>
      <c r="B143" s="82">
        <v>0.76388888888888695</v>
      </c>
      <c r="C143" s="189"/>
      <c r="D143" s="229">
        <v>10</v>
      </c>
      <c r="E143" s="229"/>
      <c r="F143" s="229">
        <v>1</v>
      </c>
      <c r="G143" s="229"/>
      <c r="H143" s="229"/>
      <c r="I143" s="7">
        <f t="shared" si="8"/>
        <v>11</v>
      </c>
      <c r="J143" s="7">
        <f t="shared" ref="J143:J151" si="10">I141+I142+I143</f>
        <v>32</v>
      </c>
      <c r="K143" s="578"/>
      <c r="L143" s="610"/>
      <c r="M143" s="189"/>
      <c r="N143" s="229">
        <v>10</v>
      </c>
      <c r="O143" s="229">
        <v>1</v>
      </c>
      <c r="P143" s="229"/>
      <c r="Q143" s="229"/>
      <c r="R143" s="229"/>
      <c r="S143" s="7">
        <f t="shared" si="9"/>
        <v>11</v>
      </c>
      <c r="T143" s="7">
        <f t="shared" ref="T143:T151" si="11">S141+S142+S143</f>
        <v>33</v>
      </c>
      <c r="U143" s="578"/>
      <c r="V143" s="603"/>
    </row>
    <row r="144" spans="1:26">
      <c r="A144" s="81">
        <v>0.76388888888888795</v>
      </c>
      <c r="B144" s="83">
        <v>0.76736111111111005</v>
      </c>
      <c r="C144" s="189"/>
      <c r="D144" s="229">
        <v>8</v>
      </c>
      <c r="E144" s="229"/>
      <c r="F144" s="229"/>
      <c r="G144" s="229"/>
      <c r="H144" s="229"/>
      <c r="I144" s="7">
        <f t="shared" si="8"/>
        <v>8</v>
      </c>
      <c r="J144" s="7">
        <f t="shared" si="10"/>
        <v>31</v>
      </c>
      <c r="K144" s="578"/>
      <c r="L144" s="610"/>
      <c r="M144" s="189"/>
      <c r="N144" s="229">
        <v>11</v>
      </c>
      <c r="O144" s="229">
        <v>1</v>
      </c>
      <c r="P144" s="229"/>
      <c r="Q144" s="229"/>
      <c r="R144" s="229"/>
      <c r="S144" s="7">
        <f t="shared" si="9"/>
        <v>12</v>
      </c>
      <c r="T144" s="7">
        <f t="shared" si="11"/>
        <v>35</v>
      </c>
      <c r="U144" s="578"/>
      <c r="V144" s="603"/>
    </row>
    <row r="145" spans="1:23">
      <c r="A145" s="81">
        <v>0.76736111111111005</v>
      </c>
      <c r="B145" s="82">
        <v>0.77083333333333204</v>
      </c>
      <c r="C145" s="189"/>
      <c r="D145" s="229">
        <v>12</v>
      </c>
      <c r="E145" s="229">
        <v>1</v>
      </c>
      <c r="F145" s="229"/>
      <c r="G145" s="229"/>
      <c r="H145" s="229"/>
      <c r="I145" s="7">
        <f t="shared" si="8"/>
        <v>13</v>
      </c>
      <c r="J145" s="7">
        <f t="shared" si="10"/>
        <v>32</v>
      </c>
      <c r="K145" s="578"/>
      <c r="L145" s="610"/>
      <c r="M145" s="189"/>
      <c r="N145" s="229">
        <v>8</v>
      </c>
      <c r="O145" s="229"/>
      <c r="P145" s="229"/>
      <c r="Q145" s="229"/>
      <c r="R145" s="229"/>
      <c r="S145" s="7">
        <f t="shared" si="9"/>
        <v>8</v>
      </c>
      <c r="T145" s="7">
        <f t="shared" si="11"/>
        <v>31</v>
      </c>
      <c r="U145" s="578"/>
      <c r="V145" s="603"/>
    </row>
    <row r="146" spans="1:23">
      <c r="A146" s="81">
        <v>0.77083333333333204</v>
      </c>
      <c r="B146" s="83">
        <v>0.77430555555555403</v>
      </c>
      <c r="C146" s="189"/>
      <c r="D146" s="229">
        <v>12</v>
      </c>
      <c r="E146" s="229">
        <v>1</v>
      </c>
      <c r="F146" s="229">
        <v>1</v>
      </c>
      <c r="G146" s="229"/>
      <c r="H146" s="229"/>
      <c r="I146" s="7">
        <f t="shared" si="8"/>
        <v>14</v>
      </c>
      <c r="J146" s="7">
        <f t="shared" si="10"/>
        <v>35</v>
      </c>
      <c r="K146" s="578"/>
      <c r="L146" s="610"/>
      <c r="M146" s="189"/>
      <c r="N146" s="229">
        <v>7</v>
      </c>
      <c r="O146" s="229"/>
      <c r="P146" s="229">
        <v>1</v>
      </c>
      <c r="Q146" s="229"/>
      <c r="R146" s="229"/>
      <c r="S146" s="7">
        <f t="shared" si="9"/>
        <v>8</v>
      </c>
      <c r="T146" s="7">
        <f t="shared" si="11"/>
        <v>28</v>
      </c>
      <c r="U146" s="578"/>
      <c r="V146" s="603"/>
    </row>
    <row r="147" spans="1:23">
      <c r="A147" s="81">
        <v>0.77430555555555403</v>
      </c>
      <c r="B147" s="82">
        <v>0.77777777777777601</v>
      </c>
      <c r="C147" s="189"/>
      <c r="D147" s="229">
        <v>10</v>
      </c>
      <c r="E147" s="229"/>
      <c r="F147" s="229"/>
      <c r="G147" s="229"/>
      <c r="H147" s="229"/>
      <c r="I147" s="7">
        <f t="shared" si="8"/>
        <v>10</v>
      </c>
      <c r="J147" s="7">
        <f>I145+I146+I147</f>
        <v>37</v>
      </c>
      <c r="K147" s="578"/>
      <c r="L147" s="610"/>
      <c r="M147" s="189">
        <v>1</v>
      </c>
      <c r="N147" s="229">
        <v>9</v>
      </c>
      <c r="O147" s="229">
        <v>1</v>
      </c>
      <c r="P147" s="229"/>
      <c r="Q147" s="229"/>
      <c r="R147" s="229"/>
      <c r="S147" s="7">
        <f t="shared" si="9"/>
        <v>11</v>
      </c>
      <c r="T147" s="7">
        <f t="shared" si="11"/>
        <v>27</v>
      </c>
      <c r="U147" s="578"/>
      <c r="V147" s="603"/>
    </row>
    <row r="148" spans="1:23">
      <c r="A148" s="81">
        <v>0.77777777777777601</v>
      </c>
      <c r="B148" s="83">
        <v>0.781249999999998</v>
      </c>
      <c r="C148" s="189"/>
      <c r="D148" s="229">
        <v>9</v>
      </c>
      <c r="E148" s="229">
        <v>2</v>
      </c>
      <c r="F148" s="229"/>
      <c r="G148" s="229"/>
      <c r="H148" s="229"/>
      <c r="I148" s="7">
        <f t="shared" si="8"/>
        <v>11</v>
      </c>
      <c r="J148" s="7">
        <f t="shared" si="10"/>
        <v>35</v>
      </c>
      <c r="K148" s="578"/>
      <c r="L148" s="610"/>
      <c r="M148" s="189"/>
      <c r="N148" s="229">
        <v>10</v>
      </c>
      <c r="O148" s="229"/>
      <c r="P148" s="229">
        <v>1</v>
      </c>
      <c r="Q148" s="229"/>
      <c r="R148" s="229"/>
      <c r="S148" s="7">
        <f t="shared" si="9"/>
        <v>11</v>
      </c>
      <c r="T148" s="7">
        <f t="shared" si="11"/>
        <v>30</v>
      </c>
      <c r="U148" s="578"/>
      <c r="V148" s="603"/>
    </row>
    <row r="149" spans="1:23">
      <c r="A149" s="81">
        <v>0.781249999999999</v>
      </c>
      <c r="B149" s="82">
        <v>0.78472222222222099</v>
      </c>
      <c r="C149" s="189"/>
      <c r="D149" s="229">
        <v>12</v>
      </c>
      <c r="E149" s="229"/>
      <c r="F149" s="229"/>
      <c r="G149" s="229"/>
      <c r="H149" s="229"/>
      <c r="I149" s="7">
        <f t="shared" si="8"/>
        <v>12</v>
      </c>
      <c r="J149" s="7">
        <f t="shared" si="10"/>
        <v>33</v>
      </c>
      <c r="K149" s="578"/>
      <c r="L149" s="610"/>
      <c r="M149" s="189"/>
      <c r="N149" s="229">
        <v>10</v>
      </c>
      <c r="O149" s="229"/>
      <c r="P149" s="229"/>
      <c r="Q149" s="229"/>
      <c r="R149" s="229"/>
      <c r="S149" s="7">
        <f t="shared" si="9"/>
        <v>10</v>
      </c>
      <c r="T149" s="7">
        <f t="shared" si="11"/>
        <v>32</v>
      </c>
      <c r="U149" s="578"/>
      <c r="V149" s="603"/>
    </row>
    <row r="150" spans="1:23">
      <c r="A150" s="81">
        <v>0.78472222222222099</v>
      </c>
      <c r="B150" s="83">
        <v>0.78819444444444298</v>
      </c>
      <c r="C150" s="189"/>
      <c r="D150" s="229">
        <v>10</v>
      </c>
      <c r="E150" s="229"/>
      <c r="F150" s="229">
        <v>1</v>
      </c>
      <c r="G150" s="229"/>
      <c r="H150" s="229"/>
      <c r="I150" s="7">
        <f t="shared" si="8"/>
        <v>11</v>
      </c>
      <c r="J150" s="7">
        <f t="shared" si="10"/>
        <v>34</v>
      </c>
      <c r="K150" s="578"/>
      <c r="L150" s="610"/>
      <c r="M150" s="189">
        <v>1</v>
      </c>
      <c r="N150" s="229">
        <v>8</v>
      </c>
      <c r="O150" s="229">
        <v>1</v>
      </c>
      <c r="P150" s="229"/>
      <c r="Q150" s="229"/>
      <c r="R150" s="229"/>
      <c r="S150" s="7">
        <f t="shared" si="9"/>
        <v>10</v>
      </c>
      <c r="T150" s="7">
        <f t="shared" si="11"/>
        <v>31</v>
      </c>
      <c r="U150" s="578"/>
      <c r="V150" s="603"/>
    </row>
    <row r="151" spans="1:23" ht="15.75" thickBot="1">
      <c r="A151" s="84">
        <v>0.78819444444444298</v>
      </c>
      <c r="B151" s="85">
        <v>0.79166666666666496</v>
      </c>
      <c r="C151" s="190"/>
      <c r="D151" s="155">
        <v>9</v>
      </c>
      <c r="E151" s="155">
        <v>1</v>
      </c>
      <c r="F151" s="155"/>
      <c r="G151" s="155"/>
      <c r="H151" s="155"/>
      <c r="I151" s="297">
        <f t="shared" si="8"/>
        <v>10</v>
      </c>
      <c r="J151" s="22">
        <f t="shared" si="10"/>
        <v>33</v>
      </c>
      <c r="K151" s="579"/>
      <c r="L151" s="611"/>
      <c r="M151" s="190"/>
      <c r="N151" s="155">
        <v>9</v>
      </c>
      <c r="O151" s="155">
        <v>1</v>
      </c>
      <c r="P151" s="155"/>
      <c r="Q151" s="155"/>
      <c r="R151" s="155"/>
      <c r="S151" s="297">
        <f t="shared" si="9"/>
        <v>10</v>
      </c>
      <c r="T151" s="22">
        <f t="shared" si="11"/>
        <v>30</v>
      </c>
      <c r="U151" s="579"/>
      <c r="V151" s="604"/>
    </row>
    <row r="152" spans="1:23" ht="15.75" thickBot="1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</row>
    <row r="153" spans="1:23" ht="15.75" thickBot="1">
      <c r="A153" s="580" t="s">
        <v>64</v>
      </c>
      <c r="B153" s="581"/>
      <c r="C153" s="34">
        <f t="shared" ref="C153:H153" si="12">SUM(C8:C151)</f>
        <v>21</v>
      </c>
      <c r="D153" s="35">
        <f t="shared" si="12"/>
        <v>1502</v>
      </c>
      <c r="E153" s="35">
        <f t="shared" si="12"/>
        <v>96</v>
      </c>
      <c r="F153" s="35">
        <f t="shared" si="12"/>
        <v>39</v>
      </c>
      <c r="G153" s="35">
        <f t="shared" si="12"/>
        <v>0</v>
      </c>
      <c r="H153" s="35">
        <f t="shared" si="12"/>
        <v>0</v>
      </c>
      <c r="I153" s="35"/>
      <c r="J153" s="35"/>
      <c r="K153" s="35">
        <f>MAX(K8:K151)</f>
        <v>172</v>
      </c>
      <c r="L153" s="77">
        <f>MIN(L8:L151)</f>
        <v>0.80263157894736847</v>
      </c>
      <c r="M153" s="35">
        <f t="shared" ref="M153:R153" si="13">SUM(M8:M151)</f>
        <v>25</v>
      </c>
      <c r="N153" s="35">
        <f t="shared" si="13"/>
        <v>1291</v>
      </c>
      <c r="O153" s="35">
        <f t="shared" si="13"/>
        <v>91</v>
      </c>
      <c r="P153" s="35">
        <f t="shared" si="13"/>
        <v>29</v>
      </c>
      <c r="Q153" s="35">
        <f t="shared" si="13"/>
        <v>0</v>
      </c>
      <c r="R153" s="35">
        <f t="shared" si="13"/>
        <v>0</v>
      </c>
      <c r="S153" s="35"/>
      <c r="T153" s="35"/>
      <c r="U153" s="35">
        <f>MAX(U8:U151)</f>
        <v>132</v>
      </c>
      <c r="V153" s="77">
        <f>MIN(V8:V151)</f>
        <v>0.76315789473684215</v>
      </c>
    </row>
    <row r="154" spans="1:23" ht="15.75" thickBot="1">
      <c r="L154" s="77">
        <f>MIN(L9:L152)</f>
        <v>0.80263157894736847</v>
      </c>
      <c r="W154" s="137"/>
    </row>
    <row r="155" spans="1:23" ht="15.75" thickBot="1">
      <c r="C155" s="51">
        <f>ROUND((C153/$L$153),0)</f>
        <v>26</v>
      </c>
      <c r="D155" s="52">
        <f>ROUND((D153/$L$153),0)</f>
        <v>1871</v>
      </c>
      <c r="E155" s="52">
        <f>ROUND((E153/$L$153),0)</f>
        <v>120</v>
      </c>
      <c r="F155" s="52"/>
      <c r="G155" s="52"/>
      <c r="H155" s="52">
        <f>ROUND((H153/$L$153),0)</f>
        <v>0</v>
      </c>
      <c r="I155" s="53">
        <f>SUM(C155:H155)</f>
        <v>2017</v>
      </c>
      <c r="M155" s="51">
        <f>ROUND((M153/$V$153),0)</f>
        <v>33</v>
      </c>
      <c r="N155" s="52">
        <f>ROUND((N153/$V$153),0)</f>
        <v>1692</v>
      </c>
      <c r="O155" s="52">
        <f>ROUND((O153/$V$153),0)</f>
        <v>119</v>
      </c>
      <c r="P155" s="52"/>
      <c r="Q155" s="52"/>
      <c r="R155" s="52">
        <f>ROUND((R153/$V$153),0)</f>
        <v>0</v>
      </c>
      <c r="S155" s="53">
        <f>SUM(M155:R155)</f>
        <v>1844</v>
      </c>
      <c r="W155" s="137"/>
    </row>
    <row r="156" spans="1:23">
      <c r="W156" s="137"/>
    </row>
    <row r="157" spans="1:23">
      <c r="W157" s="137"/>
    </row>
    <row r="159" spans="1:23"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</row>
    <row r="170" spans="1:28" ht="10.5" customHeight="1" thickBot="1"/>
    <row r="171" spans="1:28" ht="17.25" customHeight="1" thickBot="1">
      <c r="A171" s="567" t="s">
        <v>16</v>
      </c>
      <c r="B171" s="568"/>
      <c r="C171" s="569" t="s">
        <v>17</v>
      </c>
      <c r="D171" s="570"/>
      <c r="E171" s="570"/>
      <c r="F171" s="570"/>
      <c r="G171" s="570"/>
      <c r="H171" s="570"/>
      <c r="I171" s="570"/>
      <c r="J171" s="570"/>
      <c r="K171" s="570"/>
      <c r="L171" s="571"/>
      <c r="M171" s="570" t="s">
        <v>194</v>
      </c>
      <c r="N171" s="570"/>
      <c r="O171" s="570"/>
      <c r="P171" s="570"/>
      <c r="Q171" s="570"/>
      <c r="R171" s="570"/>
      <c r="S171" s="570"/>
      <c r="T171" s="570"/>
      <c r="U171" s="570"/>
      <c r="V171" s="571"/>
    </row>
    <row r="172" spans="1:28" ht="15" customHeight="1" thickBot="1">
      <c r="A172" s="612" t="s">
        <v>212</v>
      </c>
      <c r="B172" s="613"/>
      <c r="C172" s="572" t="s">
        <v>2</v>
      </c>
      <c r="D172" s="573"/>
      <c r="E172" s="574" t="s">
        <v>3</v>
      </c>
      <c r="F172" s="574"/>
      <c r="G172" s="574"/>
      <c r="H172" s="574"/>
      <c r="I172" s="621" t="s">
        <v>195</v>
      </c>
      <c r="J172" s="621" t="s">
        <v>203</v>
      </c>
      <c r="K172" s="575"/>
      <c r="L172" s="624" t="s">
        <v>5</v>
      </c>
      <c r="M172" s="572" t="s">
        <v>2</v>
      </c>
      <c r="N172" s="573"/>
      <c r="O172" s="574" t="s">
        <v>3</v>
      </c>
      <c r="P172" s="574"/>
      <c r="Q172" s="574"/>
      <c r="R172" s="574"/>
      <c r="S172" s="621" t="s">
        <v>195</v>
      </c>
      <c r="T172" s="621" t="s">
        <v>203</v>
      </c>
      <c r="U172" s="575"/>
      <c r="V172" s="624" t="s">
        <v>5</v>
      </c>
    </row>
    <row r="173" spans="1:28" ht="73.5" customHeight="1" thickBot="1">
      <c r="A173" s="612" t="s">
        <v>1</v>
      </c>
      <c r="B173" s="613"/>
      <c r="C173" s="505" t="s">
        <v>6</v>
      </c>
      <c r="D173" s="506" t="s">
        <v>7</v>
      </c>
      <c r="E173" s="507" t="s">
        <v>8</v>
      </c>
      <c r="F173" s="507" t="s">
        <v>9</v>
      </c>
      <c r="G173" s="507" t="s">
        <v>9</v>
      </c>
      <c r="H173" s="507" t="s">
        <v>197</v>
      </c>
      <c r="I173" s="622"/>
      <c r="J173" s="622"/>
      <c r="K173" s="576"/>
      <c r="L173" s="625"/>
      <c r="M173" s="505" t="s">
        <v>6</v>
      </c>
      <c r="N173" s="506" t="s">
        <v>7</v>
      </c>
      <c r="O173" s="507" t="s">
        <v>8</v>
      </c>
      <c r="P173" s="507" t="s">
        <v>9</v>
      </c>
      <c r="Q173" s="507" t="s">
        <v>9</v>
      </c>
      <c r="R173" s="507" t="s">
        <v>197</v>
      </c>
      <c r="S173" s="622"/>
      <c r="T173" s="622"/>
      <c r="U173" s="576"/>
      <c r="V173" s="625"/>
    </row>
    <row r="174" spans="1:28" s="255" customFormat="1" ht="17.25" customHeight="1" thickBot="1">
      <c r="A174" s="612" t="s">
        <v>205</v>
      </c>
      <c r="B174" s="613"/>
      <c r="C174" s="508"/>
      <c r="D174" s="509" t="s">
        <v>34</v>
      </c>
      <c r="E174" s="509" t="s">
        <v>35</v>
      </c>
      <c r="F174" s="509" t="s">
        <v>36</v>
      </c>
      <c r="G174" s="509" t="s">
        <v>102</v>
      </c>
      <c r="H174" s="509" t="s">
        <v>104</v>
      </c>
      <c r="I174" s="623"/>
      <c r="J174" s="623"/>
      <c r="K174" s="510"/>
      <c r="L174" s="626"/>
      <c r="M174" s="511"/>
      <c r="N174" s="509" t="s">
        <v>34</v>
      </c>
      <c r="O174" s="509" t="s">
        <v>35</v>
      </c>
      <c r="P174" s="509" t="s">
        <v>36</v>
      </c>
      <c r="Q174" s="509" t="s">
        <v>102</v>
      </c>
      <c r="R174" s="509" t="s">
        <v>104</v>
      </c>
      <c r="S174" s="623"/>
      <c r="T174" s="623"/>
      <c r="U174" s="510"/>
      <c r="V174" s="626"/>
    </row>
    <row r="175" spans="1:28">
      <c r="A175" s="262">
        <v>0.29166666666666669</v>
      </c>
      <c r="B175" s="263">
        <v>0.33333333333333331</v>
      </c>
      <c r="C175" s="264">
        <f t="shared" ref="C175:H175" si="14">SUM(C8:C19)</f>
        <v>1</v>
      </c>
      <c r="D175" s="264">
        <f t="shared" si="14"/>
        <v>91</v>
      </c>
      <c r="E175" s="264">
        <f t="shared" si="14"/>
        <v>9</v>
      </c>
      <c r="F175" s="264">
        <f t="shared" si="14"/>
        <v>5</v>
      </c>
      <c r="G175" s="264">
        <f t="shared" si="14"/>
        <v>0</v>
      </c>
      <c r="H175" s="264">
        <f t="shared" si="14"/>
        <v>0</v>
      </c>
      <c r="I175" s="264">
        <f>SUM(C175:H175)</f>
        <v>106</v>
      </c>
      <c r="J175" s="265">
        <f>I175*100/$I$187</f>
        <v>6.3932448733413754</v>
      </c>
      <c r="K175" s="264">
        <f>K8</f>
        <v>106</v>
      </c>
      <c r="L175" s="266">
        <f>L8</f>
        <v>0.8833333333333333</v>
      </c>
      <c r="M175" s="296">
        <f>SUM(M8:M19)</f>
        <v>4</v>
      </c>
      <c r="N175" s="264">
        <f>SUM(N8:N19)</f>
        <v>119</v>
      </c>
      <c r="O175" s="264">
        <f>SUM(O8:O19)</f>
        <v>7</v>
      </c>
      <c r="P175" s="264"/>
      <c r="Q175" s="264"/>
      <c r="R175" s="264">
        <f>SUM(R8:R19)</f>
        <v>0</v>
      </c>
      <c r="S175" s="264">
        <f>SUM(M175:R175)</f>
        <v>130</v>
      </c>
      <c r="T175" s="265">
        <f>S175*100/$S$187</f>
        <v>9.2395167022032698</v>
      </c>
      <c r="U175" s="264">
        <f>U8</f>
        <v>131</v>
      </c>
      <c r="V175" s="274">
        <f>V8</f>
        <v>0.79878048780487809</v>
      </c>
      <c r="X175" s="222"/>
      <c r="Y175" s="222"/>
      <c r="Z175" s="138"/>
      <c r="AA175" s="241"/>
      <c r="AB175" s="241"/>
    </row>
    <row r="176" spans="1:28">
      <c r="A176" s="270">
        <v>0.33333333333333331</v>
      </c>
      <c r="B176" s="271">
        <v>0.375</v>
      </c>
      <c r="C176" s="272">
        <f t="shared" ref="C176:H176" si="15">SUM(C20:C31)</f>
        <v>2</v>
      </c>
      <c r="D176" s="272">
        <f t="shared" si="15"/>
        <v>123</v>
      </c>
      <c r="E176" s="272">
        <f t="shared" si="15"/>
        <v>8</v>
      </c>
      <c r="F176" s="272">
        <f t="shared" si="15"/>
        <v>2</v>
      </c>
      <c r="G176" s="272">
        <f t="shared" si="15"/>
        <v>0</v>
      </c>
      <c r="H176" s="272">
        <f t="shared" si="15"/>
        <v>0</v>
      </c>
      <c r="I176" s="272">
        <f t="shared" ref="I176:I186" si="16">SUM(C176:H176)</f>
        <v>135</v>
      </c>
      <c r="J176" s="265">
        <f t="shared" ref="J176:J186" si="17">I176*100/$I$187</f>
        <v>8.1423401688781656</v>
      </c>
      <c r="K176" s="264">
        <f>K20</f>
        <v>135</v>
      </c>
      <c r="L176" s="266">
        <f>L20</f>
        <v>0.91216216216216217</v>
      </c>
      <c r="M176" s="273">
        <f>SUM(M20:M31)</f>
        <v>2</v>
      </c>
      <c r="N176" s="272">
        <f>SUM(N20:N31)</f>
        <v>88</v>
      </c>
      <c r="O176" s="272">
        <f>SUM(O20:O31)</f>
        <v>8</v>
      </c>
      <c r="P176" s="272"/>
      <c r="Q176" s="272"/>
      <c r="R176" s="272">
        <f>SUM(R20:R31)</f>
        <v>0</v>
      </c>
      <c r="S176" s="272">
        <f t="shared" ref="S176:S186" si="18">SUM(M176:R176)</f>
        <v>98</v>
      </c>
      <c r="T176" s="265">
        <f t="shared" ref="T176:T186" si="19">S176*100/$S$187</f>
        <v>6.9651741293532341</v>
      </c>
      <c r="U176" s="264">
        <f>U20</f>
        <v>101</v>
      </c>
      <c r="V176" s="274">
        <f>V20</f>
        <v>0.7890625</v>
      </c>
      <c r="X176" s="222"/>
      <c r="Y176" s="222"/>
      <c r="Z176" s="138"/>
      <c r="AA176" s="241"/>
      <c r="AB176" s="241"/>
    </row>
    <row r="177" spans="1:28">
      <c r="A177" s="270">
        <v>0.375</v>
      </c>
      <c r="B177" s="271">
        <v>0.41666666666666702</v>
      </c>
      <c r="C177" s="272">
        <f t="shared" ref="C177:H177" si="20">SUM(C32:C43)</f>
        <v>2</v>
      </c>
      <c r="D177" s="272">
        <f t="shared" si="20"/>
        <v>123</v>
      </c>
      <c r="E177" s="272">
        <f t="shared" si="20"/>
        <v>8</v>
      </c>
      <c r="F177" s="272">
        <f t="shared" si="20"/>
        <v>1</v>
      </c>
      <c r="G177" s="272">
        <f t="shared" si="20"/>
        <v>0</v>
      </c>
      <c r="H177" s="272">
        <f t="shared" si="20"/>
        <v>0</v>
      </c>
      <c r="I177" s="272">
        <f t="shared" si="16"/>
        <v>134</v>
      </c>
      <c r="J177" s="265">
        <f t="shared" si="17"/>
        <v>8.0820265379975869</v>
      </c>
      <c r="K177" s="264">
        <f>K32</f>
        <v>134</v>
      </c>
      <c r="L177" s="266">
        <f>L32</f>
        <v>0.85897435897435892</v>
      </c>
      <c r="M177" s="273">
        <f>SUM(M32:M43)</f>
        <v>1</v>
      </c>
      <c r="N177" s="272">
        <f>SUM(N32:N43)</f>
        <v>95</v>
      </c>
      <c r="O177" s="272">
        <f>SUM(O32:O43)</f>
        <v>8</v>
      </c>
      <c r="P177" s="272"/>
      <c r="Q177" s="272"/>
      <c r="R177" s="272">
        <f>SUM(R32:R43)</f>
        <v>0</v>
      </c>
      <c r="S177" s="272">
        <f t="shared" si="18"/>
        <v>104</v>
      </c>
      <c r="T177" s="265">
        <f t="shared" si="19"/>
        <v>7.3916133617626159</v>
      </c>
      <c r="U177" s="264">
        <f>U32</f>
        <v>107</v>
      </c>
      <c r="V177" s="274">
        <f>V32</f>
        <v>0.8359375</v>
      </c>
      <c r="X177" s="222"/>
      <c r="Y177" s="222"/>
      <c r="Z177" s="138"/>
      <c r="AA177" s="241"/>
      <c r="AB177" s="241"/>
    </row>
    <row r="178" spans="1:28">
      <c r="A178" s="270">
        <v>0.41666666666666702</v>
      </c>
      <c r="B178" s="271">
        <v>0.45833333333333298</v>
      </c>
      <c r="C178" s="272">
        <f t="shared" ref="C178:H178" si="21">SUM(C44:C55)</f>
        <v>1</v>
      </c>
      <c r="D178" s="272">
        <f t="shared" si="21"/>
        <v>107</v>
      </c>
      <c r="E178" s="272">
        <f t="shared" si="21"/>
        <v>8</v>
      </c>
      <c r="F178" s="272">
        <f t="shared" si="21"/>
        <v>6</v>
      </c>
      <c r="G178" s="272">
        <f t="shared" si="21"/>
        <v>0</v>
      </c>
      <c r="H178" s="272">
        <f t="shared" si="21"/>
        <v>0</v>
      </c>
      <c r="I178" s="272">
        <f t="shared" si="16"/>
        <v>122</v>
      </c>
      <c r="J178" s="265">
        <f t="shared" si="17"/>
        <v>7.3582629674306395</v>
      </c>
      <c r="K178" s="264">
        <f>K44</f>
        <v>122</v>
      </c>
      <c r="L178" s="266">
        <f>L44</f>
        <v>0.80263157894736847</v>
      </c>
      <c r="M178" s="273">
        <f>SUM(M44:M55)</f>
        <v>5</v>
      </c>
      <c r="N178" s="272">
        <f>SUM(N44:N55)</f>
        <v>112</v>
      </c>
      <c r="O178" s="272">
        <f>SUM(O44:O55)</f>
        <v>7</v>
      </c>
      <c r="P178" s="272"/>
      <c r="Q178" s="272"/>
      <c r="R178" s="272">
        <f>SUM(R44:R55)</f>
        <v>0</v>
      </c>
      <c r="S178" s="272">
        <f t="shared" si="18"/>
        <v>124</v>
      </c>
      <c r="T178" s="265">
        <f t="shared" si="19"/>
        <v>8.8130774697938872</v>
      </c>
      <c r="U178" s="264">
        <f>U44</f>
        <v>124</v>
      </c>
      <c r="V178" s="274">
        <f>V44</f>
        <v>0.83783783783783783</v>
      </c>
      <c r="X178" s="222"/>
      <c r="Y178" s="222"/>
      <c r="Z178" s="138"/>
      <c r="AA178" s="241"/>
      <c r="AB178" s="241"/>
    </row>
    <row r="179" spans="1:28">
      <c r="A179" s="270">
        <v>0.45833333333333398</v>
      </c>
      <c r="B179" s="271">
        <v>0.5</v>
      </c>
      <c r="C179" s="272">
        <f t="shared" ref="C179:H179" si="22">SUM(C56:C67)</f>
        <v>2</v>
      </c>
      <c r="D179" s="272">
        <f t="shared" si="22"/>
        <v>119</v>
      </c>
      <c r="E179" s="272">
        <f t="shared" si="22"/>
        <v>8</v>
      </c>
      <c r="F179" s="272">
        <f t="shared" si="22"/>
        <v>2</v>
      </c>
      <c r="G179" s="272">
        <f t="shared" si="22"/>
        <v>0</v>
      </c>
      <c r="H179" s="272">
        <f t="shared" si="22"/>
        <v>0</v>
      </c>
      <c r="I179" s="272">
        <f t="shared" si="16"/>
        <v>131</v>
      </c>
      <c r="J179" s="265">
        <f t="shared" si="17"/>
        <v>7.9010856453558507</v>
      </c>
      <c r="K179" s="264">
        <f>K56</f>
        <v>131</v>
      </c>
      <c r="L179" s="266">
        <f>L56</f>
        <v>0.88513513513513509</v>
      </c>
      <c r="M179" s="273">
        <f>SUM(M56:M67)</f>
        <v>2</v>
      </c>
      <c r="N179" s="272">
        <f>SUM(N56:N67)</f>
        <v>90</v>
      </c>
      <c r="O179" s="272">
        <f>SUM(O56:O67)</f>
        <v>8</v>
      </c>
      <c r="P179" s="272"/>
      <c r="Q179" s="272"/>
      <c r="R179" s="272">
        <f>SUM(R56:R67)</f>
        <v>0</v>
      </c>
      <c r="S179" s="272">
        <f t="shared" si="18"/>
        <v>100</v>
      </c>
      <c r="T179" s="265">
        <f t="shared" si="19"/>
        <v>7.1073205401563611</v>
      </c>
      <c r="U179" s="264">
        <f>U56</f>
        <v>103</v>
      </c>
      <c r="V179" s="274">
        <f>V56</f>
        <v>0.8046875</v>
      </c>
      <c r="X179" s="222"/>
      <c r="Y179" s="222"/>
      <c r="Z179" s="138"/>
      <c r="AA179" s="241"/>
      <c r="AB179" s="241"/>
    </row>
    <row r="180" spans="1:28">
      <c r="A180" s="270">
        <v>0.5</v>
      </c>
      <c r="B180" s="271">
        <v>0.54166666666666596</v>
      </c>
      <c r="C180" s="272">
        <f t="shared" ref="C180:H180" si="23">SUM(C68:C79)</f>
        <v>1</v>
      </c>
      <c r="D180" s="272">
        <f t="shared" si="23"/>
        <v>151</v>
      </c>
      <c r="E180" s="272">
        <f t="shared" si="23"/>
        <v>8</v>
      </c>
      <c r="F180" s="272">
        <f t="shared" si="23"/>
        <v>6</v>
      </c>
      <c r="G180" s="272">
        <f t="shared" si="23"/>
        <v>0</v>
      </c>
      <c r="H180" s="272">
        <f t="shared" si="23"/>
        <v>0</v>
      </c>
      <c r="I180" s="272">
        <f t="shared" si="16"/>
        <v>166</v>
      </c>
      <c r="J180" s="265">
        <f t="shared" si="17"/>
        <v>10.012062726176115</v>
      </c>
      <c r="K180" s="264">
        <f>K68</f>
        <v>166</v>
      </c>
      <c r="L180" s="266">
        <f>L68</f>
        <v>0.84693877551020413</v>
      </c>
      <c r="M180" s="273">
        <f>SUM(M68:M79)</f>
        <v>1</v>
      </c>
      <c r="N180" s="272">
        <f>SUM(N68:N79)</f>
        <v>103</v>
      </c>
      <c r="O180" s="272">
        <f>SUM(O68:O79)</f>
        <v>8</v>
      </c>
      <c r="P180" s="272"/>
      <c r="Q180" s="272"/>
      <c r="R180" s="272">
        <f>SUM(R68:R79)</f>
        <v>0</v>
      </c>
      <c r="S180" s="272">
        <f t="shared" si="18"/>
        <v>112</v>
      </c>
      <c r="T180" s="265">
        <f t="shared" si="19"/>
        <v>7.9601990049751246</v>
      </c>
      <c r="U180" s="264">
        <f>U68</f>
        <v>116</v>
      </c>
      <c r="V180" s="274">
        <f>V68</f>
        <v>0.76315789473684215</v>
      </c>
      <c r="X180" s="222"/>
      <c r="Y180" s="222"/>
      <c r="Z180" s="138"/>
      <c r="AA180" s="241"/>
      <c r="AB180" s="241"/>
    </row>
    <row r="181" spans="1:28">
      <c r="A181" s="270">
        <v>0.54166666666666696</v>
      </c>
      <c r="B181" s="271">
        <v>0.58333333333333304</v>
      </c>
      <c r="C181" s="272">
        <f t="shared" ref="C181:H181" si="24">SUM(C80:C91)</f>
        <v>3</v>
      </c>
      <c r="D181" s="272">
        <f t="shared" si="24"/>
        <v>158</v>
      </c>
      <c r="E181" s="272">
        <f t="shared" si="24"/>
        <v>7</v>
      </c>
      <c r="F181" s="272">
        <f t="shared" si="24"/>
        <v>4</v>
      </c>
      <c r="G181" s="272">
        <f t="shared" si="24"/>
        <v>0</v>
      </c>
      <c r="H181" s="272">
        <f t="shared" si="24"/>
        <v>0</v>
      </c>
      <c r="I181" s="272">
        <f t="shared" si="16"/>
        <v>172</v>
      </c>
      <c r="J181" s="265">
        <f t="shared" si="17"/>
        <v>10.373944511459589</v>
      </c>
      <c r="K181" s="264">
        <f>K80</f>
        <v>172</v>
      </c>
      <c r="L181" s="266">
        <f>L80</f>
        <v>0.81132075471698117</v>
      </c>
      <c r="M181" s="273">
        <f>SUM(M80:M91)</f>
        <v>0</v>
      </c>
      <c r="N181" s="272">
        <f>SUM(N80:N91)</f>
        <v>116</v>
      </c>
      <c r="O181" s="272">
        <f>SUM(O80:O91)</f>
        <v>9</v>
      </c>
      <c r="P181" s="272"/>
      <c r="Q181" s="272"/>
      <c r="R181" s="272">
        <f>SUM(R80:R91)</f>
        <v>0</v>
      </c>
      <c r="S181" s="272">
        <f t="shared" si="18"/>
        <v>125</v>
      </c>
      <c r="T181" s="265">
        <f t="shared" si="19"/>
        <v>8.8841506751954515</v>
      </c>
      <c r="U181" s="264">
        <f>U80</f>
        <v>129</v>
      </c>
      <c r="V181" s="274">
        <f>V80</f>
        <v>0.8716216216216216</v>
      </c>
      <c r="X181" s="222"/>
      <c r="Y181" s="222"/>
      <c r="Z181" s="138"/>
      <c r="AA181" s="241"/>
      <c r="AB181" s="241"/>
    </row>
    <row r="182" spans="1:28">
      <c r="A182" s="270">
        <v>0.58333333333333304</v>
      </c>
      <c r="B182" s="271">
        <v>0.625</v>
      </c>
      <c r="C182" s="272">
        <f t="shared" ref="C182:H182" si="25">SUM(C92:C103)</f>
        <v>2</v>
      </c>
      <c r="D182" s="272">
        <f t="shared" si="25"/>
        <v>141</v>
      </c>
      <c r="E182" s="272">
        <f t="shared" si="25"/>
        <v>9</v>
      </c>
      <c r="F182" s="272">
        <f t="shared" si="25"/>
        <v>4</v>
      </c>
      <c r="G182" s="272">
        <f t="shared" si="25"/>
        <v>0</v>
      </c>
      <c r="H182" s="272">
        <f t="shared" si="25"/>
        <v>0</v>
      </c>
      <c r="I182" s="272">
        <f t="shared" si="16"/>
        <v>156</v>
      </c>
      <c r="J182" s="265">
        <f t="shared" si="17"/>
        <v>9.408926417370326</v>
      </c>
      <c r="K182" s="264">
        <f>K92</f>
        <v>156</v>
      </c>
      <c r="L182" s="266">
        <f>L92</f>
        <v>0.82978723404255317</v>
      </c>
      <c r="M182" s="273">
        <f>SUM(M92:M103)</f>
        <v>3</v>
      </c>
      <c r="N182" s="272">
        <f>SUM(N92:N103)</f>
        <v>118</v>
      </c>
      <c r="O182" s="272">
        <f>SUM(O92:O103)</f>
        <v>9</v>
      </c>
      <c r="P182" s="272"/>
      <c r="Q182" s="272"/>
      <c r="R182" s="272">
        <f>SUM(R92:R103)</f>
        <v>0</v>
      </c>
      <c r="S182" s="272">
        <f t="shared" si="18"/>
        <v>130</v>
      </c>
      <c r="T182" s="265">
        <f t="shared" si="19"/>
        <v>9.2395167022032698</v>
      </c>
      <c r="U182" s="264">
        <f>U92</f>
        <v>132</v>
      </c>
      <c r="V182" s="274">
        <f>V92</f>
        <v>0.80487804878048785</v>
      </c>
      <c r="X182" s="222"/>
      <c r="Y182" s="222"/>
      <c r="Z182" s="138"/>
      <c r="AA182" s="241"/>
      <c r="AB182" s="241"/>
    </row>
    <row r="183" spans="1:28">
      <c r="A183" s="270">
        <v>0.625</v>
      </c>
      <c r="B183" s="271">
        <v>0.66666666666666596</v>
      </c>
      <c r="C183" s="272">
        <f t="shared" ref="C183:H183" si="26">SUM(C104:C115)</f>
        <v>1</v>
      </c>
      <c r="D183" s="272">
        <f t="shared" si="26"/>
        <v>139</v>
      </c>
      <c r="E183" s="272">
        <f t="shared" si="26"/>
        <v>7</v>
      </c>
      <c r="F183" s="272">
        <f t="shared" si="26"/>
        <v>1</v>
      </c>
      <c r="G183" s="272">
        <f t="shared" si="26"/>
        <v>0</v>
      </c>
      <c r="H183" s="272">
        <f t="shared" si="26"/>
        <v>0</v>
      </c>
      <c r="I183" s="272">
        <f t="shared" si="16"/>
        <v>148</v>
      </c>
      <c r="J183" s="265">
        <f t="shared" si="17"/>
        <v>8.9264173703256944</v>
      </c>
      <c r="K183" s="264">
        <f>K104</f>
        <v>148</v>
      </c>
      <c r="L183" s="266">
        <f>L104</f>
        <v>0.86046511627906974</v>
      </c>
      <c r="M183" s="273">
        <f>SUM(M104:M115)</f>
        <v>2</v>
      </c>
      <c r="N183" s="272">
        <f>SUM(N104:N115)</f>
        <v>115</v>
      </c>
      <c r="O183" s="272">
        <f>SUM(O104:O115)</f>
        <v>5</v>
      </c>
      <c r="P183" s="272"/>
      <c r="Q183" s="272"/>
      <c r="R183" s="272">
        <f>SUM(R104:R115)</f>
        <v>0</v>
      </c>
      <c r="S183" s="272">
        <f t="shared" si="18"/>
        <v>122</v>
      </c>
      <c r="T183" s="265">
        <f t="shared" si="19"/>
        <v>8.6709310589907602</v>
      </c>
      <c r="U183" s="264">
        <f>U104</f>
        <v>122</v>
      </c>
      <c r="V183" s="274">
        <f>V104</f>
        <v>0.78205128205128205</v>
      </c>
      <c r="X183" s="222"/>
      <c r="Y183" s="222"/>
      <c r="Z183" s="138"/>
      <c r="AA183" s="241"/>
      <c r="AB183" s="241"/>
    </row>
    <row r="184" spans="1:28">
      <c r="A184" s="270">
        <v>0.66666666666666696</v>
      </c>
      <c r="B184" s="271">
        <v>0.70833333333333304</v>
      </c>
      <c r="C184" s="272">
        <f t="shared" ref="C184:H184" si="27">SUM(C116:C127)</f>
        <v>3</v>
      </c>
      <c r="D184" s="272">
        <f t="shared" si="27"/>
        <v>110</v>
      </c>
      <c r="E184" s="272">
        <f t="shared" si="27"/>
        <v>8</v>
      </c>
      <c r="F184" s="272">
        <f t="shared" si="27"/>
        <v>3</v>
      </c>
      <c r="G184" s="272">
        <f t="shared" si="27"/>
        <v>0</v>
      </c>
      <c r="H184" s="272">
        <f t="shared" si="27"/>
        <v>0</v>
      </c>
      <c r="I184" s="272">
        <f t="shared" si="16"/>
        <v>124</v>
      </c>
      <c r="J184" s="265">
        <f t="shared" si="17"/>
        <v>7.4788902291917969</v>
      </c>
      <c r="K184" s="264">
        <f>K116</f>
        <v>124</v>
      </c>
      <c r="L184" s="266">
        <f>L116</f>
        <v>0.88571428571428568</v>
      </c>
      <c r="M184" s="273">
        <f>SUM(M116:M127)</f>
        <v>0</v>
      </c>
      <c r="N184" s="272">
        <f>SUM(N116:N127)</f>
        <v>114</v>
      </c>
      <c r="O184" s="272">
        <f>SUM(O116:O127)</f>
        <v>8</v>
      </c>
      <c r="P184" s="272"/>
      <c r="Q184" s="272"/>
      <c r="R184" s="272">
        <f>SUM(R116:R127)</f>
        <v>0</v>
      </c>
      <c r="S184" s="272">
        <f t="shared" si="18"/>
        <v>122</v>
      </c>
      <c r="T184" s="265">
        <f t="shared" si="19"/>
        <v>8.6709310589907602</v>
      </c>
      <c r="U184" s="264">
        <f>U116</f>
        <v>126</v>
      </c>
      <c r="V184" s="274">
        <f>V116</f>
        <v>0.82894736842105265</v>
      </c>
      <c r="X184" s="222"/>
      <c r="Y184" s="222"/>
      <c r="Z184" s="138"/>
      <c r="AA184" s="241"/>
      <c r="AB184" s="241"/>
    </row>
    <row r="185" spans="1:28">
      <c r="A185" s="270">
        <v>0.70833333333333304</v>
      </c>
      <c r="B185" s="271">
        <v>0.75</v>
      </c>
      <c r="C185" s="272">
        <f t="shared" ref="C185:H185" si="28">SUM(C128:C139)</f>
        <v>2</v>
      </c>
      <c r="D185" s="272">
        <f t="shared" si="28"/>
        <v>120</v>
      </c>
      <c r="E185" s="272">
        <f t="shared" si="28"/>
        <v>8</v>
      </c>
      <c r="F185" s="272">
        <f t="shared" si="28"/>
        <v>2</v>
      </c>
      <c r="G185" s="272">
        <f t="shared" si="28"/>
        <v>0</v>
      </c>
      <c r="H185" s="272">
        <f t="shared" si="28"/>
        <v>0</v>
      </c>
      <c r="I185" s="272">
        <f t="shared" si="16"/>
        <v>132</v>
      </c>
      <c r="J185" s="265">
        <f t="shared" si="17"/>
        <v>7.9613992762364294</v>
      </c>
      <c r="K185" s="264">
        <f>K128</f>
        <v>132</v>
      </c>
      <c r="L185" s="266">
        <f>L128</f>
        <v>0.91666666666666663</v>
      </c>
      <c r="M185" s="273">
        <f>SUM(M128:M139)</f>
        <v>3</v>
      </c>
      <c r="N185" s="272">
        <f>SUM(N128:N139)</f>
        <v>110</v>
      </c>
      <c r="O185" s="272">
        <f>SUM(O128:O139)</f>
        <v>8</v>
      </c>
      <c r="P185" s="272"/>
      <c r="Q185" s="272"/>
      <c r="R185" s="272">
        <f>SUM(R128:R139)</f>
        <v>0</v>
      </c>
      <c r="S185" s="272">
        <f t="shared" si="18"/>
        <v>121</v>
      </c>
      <c r="T185" s="265">
        <f t="shared" si="19"/>
        <v>8.5998578535891976</v>
      </c>
      <c r="U185" s="264">
        <f>U128</f>
        <v>123</v>
      </c>
      <c r="V185" s="274">
        <f>V128</f>
        <v>0.83108108108108103</v>
      </c>
      <c r="X185" s="222"/>
      <c r="Y185" s="222"/>
      <c r="Z185" s="138"/>
      <c r="AA185" s="241"/>
      <c r="AB185" s="241"/>
    </row>
    <row r="186" spans="1:28" ht="15.75" thickBot="1">
      <c r="A186" s="275">
        <v>0.75</v>
      </c>
      <c r="B186" s="276">
        <v>0.79166666666666696</v>
      </c>
      <c r="C186" s="277">
        <f t="shared" ref="C186:H186" si="29">SUM(C140:C151)</f>
        <v>1</v>
      </c>
      <c r="D186" s="277">
        <f t="shared" si="29"/>
        <v>120</v>
      </c>
      <c r="E186" s="277">
        <f t="shared" si="29"/>
        <v>8</v>
      </c>
      <c r="F186" s="277">
        <f t="shared" si="29"/>
        <v>3</v>
      </c>
      <c r="G186" s="277">
        <f t="shared" si="29"/>
        <v>0</v>
      </c>
      <c r="H186" s="277">
        <f t="shared" si="29"/>
        <v>0</v>
      </c>
      <c r="I186" s="277">
        <f t="shared" si="16"/>
        <v>132</v>
      </c>
      <c r="J186" s="278">
        <f t="shared" si="17"/>
        <v>7.9613992762364294</v>
      </c>
      <c r="K186" s="279">
        <f>K140</f>
        <v>132</v>
      </c>
      <c r="L186" s="280">
        <f>L140</f>
        <v>0.89189189189189189</v>
      </c>
      <c r="M186" s="281">
        <f>SUM(M140:M151)</f>
        <v>2</v>
      </c>
      <c r="N186" s="277">
        <f>SUM(N140:N151)</f>
        <v>111</v>
      </c>
      <c r="O186" s="277">
        <f>SUM(O140:O151)</f>
        <v>6</v>
      </c>
      <c r="P186" s="277"/>
      <c r="Q186" s="277"/>
      <c r="R186" s="277">
        <f>SUM(R140:R151)</f>
        <v>0</v>
      </c>
      <c r="S186" s="277">
        <f t="shared" si="18"/>
        <v>119</v>
      </c>
      <c r="T186" s="278">
        <f t="shared" si="19"/>
        <v>8.4577114427860689</v>
      </c>
      <c r="U186" s="279">
        <f>U140</f>
        <v>122</v>
      </c>
      <c r="V186" s="282">
        <f>V140</f>
        <v>0.87142857142857144</v>
      </c>
      <c r="X186" s="222"/>
      <c r="Y186" s="222"/>
      <c r="Z186" s="138"/>
      <c r="AA186" s="241"/>
      <c r="AB186" s="241"/>
    </row>
    <row r="187" spans="1:28" ht="18" customHeight="1">
      <c r="A187" s="565" t="s">
        <v>64</v>
      </c>
      <c r="B187" s="566"/>
      <c r="C187" s="283">
        <f>SUM(C175:C186)</f>
        <v>21</v>
      </c>
      <c r="D187" s="284">
        <f t="shared" ref="D187:I187" si="30">SUM(D175:D186)</f>
        <v>1502</v>
      </c>
      <c r="E187" s="284">
        <f t="shared" si="30"/>
        <v>96</v>
      </c>
      <c r="F187" s="284">
        <f>SUM(F175:F186)</f>
        <v>39</v>
      </c>
      <c r="G187" s="284">
        <f>SUM(G175:G186)</f>
        <v>0</v>
      </c>
      <c r="H187" s="284">
        <f t="shared" si="30"/>
        <v>0</v>
      </c>
      <c r="I187" s="285">
        <f t="shared" si="30"/>
        <v>1658</v>
      </c>
      <c r="J187" s="627" t="s">
        <v>214</v>
      </c>
      <c r="K187" s="502"/>
      <c r="L187" s="630">
        <f>MIN(L175:L186)</f>
        <v>0.80263157894736847</v>
      </c>
      <c r="M187" s="286">
        <f>SUM(M175:M186)</f>
        <v>25</v>
      </c>
      <c r="N187" s="284">
        <f>SUM(N175:N186)</f>
        <v>1291</v>
      </c>
      <c r="O187" s="284">
        <f>SUM(O175:O186)</f>
        <v>91</v>
      </c>
      <c r="P187" s="284"/>
      <c r="Q187" s="284"/>
      <c r="R187" s="284">
        <f>SUM(R175:R186)</f>
        <v>0</v>
      </c>
      <c r="S187" s="285">
        <f>SUM(S175:S186)</f>
        <v>1407</v>
      </c>
      <c r="T187" s="627" t="s">
        <v>215</v>
      </c>
      <c r="U187" s="502"/>
      <c r="V187" s="630">
        <f>MIN(V175:V186)</f>
        <v>0.76315789473684215</v>
      </c>
      <c r="Z187" s="138"/>
      <c r="AB187" s="228"/>
    </row>
    <row r="188" spans="1:28" ht="18" customHeight="1">
      <c r="A188" s="615" t="s">
        <v>198</v>
      </c>
      <c r="B188" s="616"/>
      <c r="C188" s="287">
        <f>C187*100/$I$187</f>
        <v>1.2665862484921593</v>
      </c>
      <c r="D188" s="288">
        <f>D187*100/$I$187</f>
        <v>90.591073582629676</v>
      </c>
      <c r="E188" s="288">
        <f>E187*100/$I$187</f>
        <v>5.7901085645355854</v>
      </c>
      <c r="F188" s="288">
        <f>F187*100/$I$187</f>
        <v>2.3522316043425815</v>
      </c>
      <c r="G188" s="288"/>
      <c r="H188" s="288"/>
      <c r="I188" s="289">
        <f>I187*100/$I$187</f>
        <v>100</v>
      </c>
      <c r="J188" s="628"/>
      <c r="K188" s="503"/>
      <c r="L188" s="631"/>
      <c r="M188" s="290">
        <f>M187*100/$I$187</f>
        <v>1.5078407720144753</v>
      </c>
      <c r="N188" s="288">
        <f>N187*100/$I$187</f>
        <v>77.8648974668275</v>
      </c>
      <c r="O188" s="288">
        <f>O187*100/$I$187</f>
        <v>5.48854041013269</v>
      </c>
      <c r="P188" s="288"/>
      <c r="Q188" s="291"/>
      <c r="R188" s="291"/>
      <c r="S188" s="289">
        <f>S187*100/$S$187</f>
        <v>100</v>
      </c>
      <c r="T188" s="628"/>
      <c r="U188" s="503"/>
      <c r="V188" s="631"/>
      <c r="Z188" s="138"/>
    </row>
    <row r="189" spans="1:28" s="228" customFormat="1" ht="21" customHeight="1" thickBot="1">
      <c r="A189" s="619" t="s">
        <v>204</v>
      </c>
      <c r="B189" s="620"/>
      <c r="C189" s="292">
        <f t="shared" ref="C189:I189" si="31">ROUNDUP((C187/12),0)</f>
        <v>2</v>
      </c>
      <c r="D189" s="293">
        <f t="shared" si="31"/>
        <v>126</v>
      </c>
      <c r="E189" s="293">
        <f t="shared" si="31"/>
        <v>8</v>
      </c>
      <c r="F189" s="293">
        <f t="shared" si="31"/>
        <v>4</v>
      </c>
      <c r="G189" s="293">
        <f t="shared" si="31"/>
        <v>0</v>
      </c>
      <c r="H189" s="293">
        <f t="shared" si="31"/>
        <v>0</v>
      </c>
      <c r="I189" s="294">
        <f t="shared" si="31"/>
        <v>139</v>
      </c>
      <c r="J189" s="629"/>
      <c r="K189" s="504"/>
      <c r="L189" s="632"/>
      <c r="M189" s="295">
        <f t="shared" ref="M189:S189" si="32">ROUNDUP((M187/12),0)</f>
        <v>3</v>
      </c>
      <c r="N189" s="293">
        <f t="shared" si="32"/>
        <v>108</v>
      </c>
      <c r="O189" s="293">
        <f t="shared" si="32"/>
        <v>8</v>
      </c>
      <c r="P189" s="293">
        <f t="shared" si="32"/>
        <v>0</v>
      </c>
      <c r="Q189" s="293">
        <f t="shared" si="32"/>
        <v>0</v>
      </c>
      <c r="R189" s="293">
        <f t="shared" si="32"/>
        <v>0</v>
      </c>
      <c r="S189" s="294">
        <f t="shared" si="32"/>
        <v>118</v>
      </c>
      <c r="T189" s="629"/>
      <c r="U189" s="504"/>
      <c r="V189" s="632"/>
    </row>
    <row r="190" spans="1:28">
      <c r="M190" s="228"/>
      <c r="N190" s="228"/>
      <c r="O190" s="228"/>
    </row>
    <row r="191" spans="1:28">
      <c r="C191" s="138"/>
      <c r="D191" s="138"/>
      <c r="E191" s="138"/>
      <c r="F191" s="138"/>
      <c r="G191" s="138"/>
      <c r="H191" s="138"/>
      <c r="I191" s="222"/>
      <c r="J191" s="222"/>
      <c r="K191" s="222"/>
      <c r="L191" s="222"/>
      <c r="M191" s="138"/>
      <c r="N191" s="138"/>
      <c r="O191" s="138"/>
      <c r="P191" s="138"/>
      <c r="Q191" s="138"/>
      <c r="R191" s="138"/>
      <c r="S191" s="222"/>
      <c r="T191" s="222"/>
      <c r="U191" s="222"/>
      <c r="V191" s="222"/>
    </row>
    <row r="192" spans="1:28">
      <c r="C192" s="138"/>
      <c r="D192" s="138"/>
      <c r="E192" s="138"/>
      <c r="F192" s="138"/>
      <c r="G192" s="138"/>
      <c r="H192" s="138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>
        <f>1/V187</f>
        <v>1.3103448275862069</v>
      </c>
    </row>
    <row r="193" spans="1:29" s="228" customFormat="1">
      <c r="C193" s="138"/>
      <c r="D193" s="138"/>
      <c r="E193" s="138"/>
      <c r="F193" s="138"/>
      <c r="G193" s="138"/>
      <c r="H193" s="138"/>
      <c r="L193" s="137"/>
      <c r="M193" s="138"/>
      <c r="N193" s="138"/>
      <c r="O193" s="138"/>
      <c r="P193" s="138"/>
      <c r="Q193" s="138"/>
      <c r="R193" s="138"/>
    </row>
    <row r="194" spans="1:29">
      <c r="C194" s="138"/>
      <c r="D194" s="138"/>
      <c r="E194" s="138"/>
      <c r="F194" s="138"/>
      <c r="G194" s="138"/>
      <c r="H194" s="138"/>
      <c r="L194" s="137"/>
      <c r="M194" s="138"/>
      <c r="N194" s="138"/>
      <c r="O194" s="138"/>
      <c r="P194" s="138"/>
      <c r="Q194" s="138"/>
      <c r="R194" s="138"/>
    </row>
    <row r="195" spans="1:29">
      <c r="C195" s="138"/>
      <c r="D195" s="138"/>
      <c r="E195" s="138"/>
      <c r="F195" s="138"/>
      <c r="G195" s="138"/>
      <c r="H195" s="138"/>
    </row>
    <row r="196" spans="1:29">
      <c r="C196" s="138"/>
      <c r="D196" s="138"/>
      <c r="E196" s="138"/>
      <c r="F196" s="138"/>
      <c r="G196" s="138"/>
      <c r="H196" s="138"/>
    </row>
    <row r="198" spans="1:29" s="228" customFormat="1" ht="15.75" thickBot="1"/>
    <row r="199" spans="1:29" s="228" customFormat="1" ht="15.75" thickBot="1">
      <c r="A199" s="567" t="s">
        <v>16</v>
      </c>
      <c r="B199" s="568"/>
      <c r="C199" s="569" t="s">
        <v>17</v>
      </c>
      <c r="D199" s="570"/>
      <c r="E199" s="570"/>
      <c r="F199" s="570"/>
      <c r="G199" s="570"/>
      <c r="H199" s="570"/>
      <c r="I199" s="570"/>
      <c r="J199" s="570"/>
      <c r="K199" s="570"/>
      <c r="L199" s="571"/>
      <c r="M199" s="569" t="s">
        <v>194</v>
      </c>
      <c r="N199" s="570"/>
      <c r="O199" s="570"/>
      <c r="P199" s="570"/>
      <c r="Q199" s="570"/>
      <c r="R199" s="570"/>
      <c r="S199" s="571"/>
      <c r="T199" s="142"/>
      <c r="U199" s="142"/>
      <c r="V199" s="142"/>
    </row>
    <row r="200" spans="1:29" s="228" customFormat="1" ht="15" customHeight="1" thickBot="1">
      <c r="A200" s="612" t="s">
        <v>210</v>
      </c>
      <c r="B200" s="646"/>
      <c r="C200" s="633" t="s">
        <v>2</v>
      </c>
      <c r="D200" s="573"/>
      <c r="E200" s="574" t="s">
        <v>3</v>
      </c>
      <c r="F200" s="574"/>
      <c r="G200" s="574"/>
      <c r="H200" s="574"/>
      <c r="I200" s="575" t="s">
        <v>195</v>
      </c>
      <c r="J200" s="575"/>
      <c r="K200" s="575"/>
      <c r="L200" s="878"/>
      <c r="M200" s="633" t="s">
        <v>2</v>
      </c>
      <c r="N200" s="573"/>
      <c r="O200" s="574" t="s">
        <v>3</v>
      </c>
      <c r="P200" s="574"/>
      <c r="Q200" s="574"/>
      <c r="R200" s="574"/>
      <c r="S200" s="878" t="s">
        <v>195</v>
      </c>
      <c r="T200" s="614"/>
      <c r="U200" s="614"/>
      <c r="V200" s="614"/>
    </row>
    <row r="201" spans="1:29" ht="80.25" thickBot="1">
      <c r="A201" s="879" t="s">
        <v>206</v>
      </c>
      <c r="B201" s="880"/>
      <c r="C201" s="512" t="s">
        <v>6</v>
      </c>
      <c r="D201" s="519" t="s">
        <v>7</v>
      </c>
      <c r="E201" s="507" t="s">
        <v>8</v>
      </c>
      <c r="F201" s="507" t="s">
        <v>9</v>
      </c>
      <c r="G201" s="507" t="s">
        <v>9</v>
      </c>
      <c r="H201" s="507" t="s">
        <v>197</v>
      </c>
      <c r="I201" s="576"/>
      <c r="J201" s="576"/>
      <c r="K201" s="576"/>
      <c r="L201" s="881"/>
      <c r="M201" s="512" t="s">
        <v>6</v>
      </c>
      <c r="N201" s="519" t="s">
        <v>7</v>
      </c>
      <c r="O201" s="507" t="s">
        <v>8</v>
      </c>
      <c r="P201" s="507" t="s">
        <v>9</v>
      </c>
      <c r="Q201" s="507" t="s">
        <v>9</v>
      </c>
      <c r="R201" s="507" t="s">
        <v>197</v>
      </c>
      <c r="S201" s="881"/>
      <c r="T201" s="614"/>
      <c r="U201" s="614"/>
      <c r="V201" s="614"/>
    </row>
    <row r="202" spans="1:29" s="228" customFormat="1" ht="15.75" thickBot="1">
      <c r="A202" s="612" t="s">
        <v>205</v>
      </c>
      <c r="B202" s="646"/>
      <c r="C202" s="508"/>
      <c r="D202" s="509" t="s">
        <v>34</v>
      </c>
      <c r="E202" s="509" t="s">
        <v>35</v>
      </c>
      <c r="F202" s="509" t="s">
        <v>36</v>
      </c>
      <c r="G202" s="509" t="s">
        <v>102</v>
      </c>
      <c r="H202" s="509" t="s">
        <v>104</v>
      </c>
      <c r="I202" s="510"/>
      <c r="J202" s="510"/>
      <c r="K202" s="510"/>
      <c r="L202" s="882"/>
      <c r="M202" s="508"/>
      <c r="N202" s="509" t="s">
        <v>34</v>
      </c>
      <c r="O202" s="509" t="s">
        <v>35</v>
      </c>
      <c r="P202" s="509" t="s">
        <v>36</v>
      </c>
      <c r="Q202" s="509" t="s">
        <v>102</v>
      </c>
      <c r="R202" s="509" t="s">
        <v>104</v>
      </c>
      <c r="S202" s="882"/>
      <c r="T202" s="260"/>
      <c r="U202" s="260"/>
      <c r="V202" s="260"/>
    </row>
    <row r="203" spans="1:29">
      <c r="A203" s="871" t="s">
        <v>208</v>
      </c>
      <c r="B203" s="872"/>
      <c r="C203" s="873">
        <f>C189</f>
        <v>2</v>
      </c>
      <c r="D203" s="874">
        <f t="shared" ref="D203:R203" si="33">D189</f>
        <v>126</v>
      </c>
      <c r="E203" s="874">
        <f>E189</f>
        <v>8</v>
      </c>
      <c r="F203" s="874">
        <f t="shared" si="33"/>
        <v>4</v>
      </c>
      <c r="G203" s="875">
        <f t="shared" si="33"/>
        <v>0</v>
      </c>
      <c r="H203" s="875">
        <f t="shared" si="33"/>
        <v>0</v>
      </c>
      <c r="I203" s="874">
        <f>SUM(C203:H203)</f>
        <v>140</v>
      </c>
      <c r="J203" s="875"/>
      <c r="K203" s="875"/>
      <c r="L203" s="876"/>
      <c r="M203" s="877">
        <f t="shared" si="33"/>
        <v>3</v>
      </c>
      <c r="N203" s="875">
        <f t="shared" si="33"/>
        <v>108</v>
      </c>
      <c r="O203" s="875">
        <f t="shared" si="33"/>
        <v>8</v>
      </c>
      <c r="P203" s="875">
        <f t="shared" si="33"/>
        <v>0</v>
      </c>
      <c r="Q203" s="875">
        <f t="shared" si="33"/>
        <v>0</v>
      </c>
      <c r="R203" s="875">
        <f t="shared" si="33"/>
        <v>0</v>
      </c>
      <c r="S203" s="876">
        <f>SUM(M203:R203)</f>
        <v>119</v>
      </c>
      <c r="AC203" s="208"/>
    </row>
    <row r="204" spans="1:29">
      <c r="A204" s="617" t="s">
        <v>209</v>
      </c>
      <c r="B204" s="618"/>
      <c r="C204" s="253">
        <f>'conteo 2'!C85</f>
        <v>3</v>
      </c>
      <c r="D204" s="250">
        <f>'conteo 2'!D85</f>
        <v>85</v>
      </c>
      <c r="E204" s="250">
        <f>'conteo 2'!E85</f>
        <v>9</v>
      </c>
      <c r="F204" s="250">
        <f>'conteo 2'!F85</f>
        <v>6</v>
      </c>
      <c r="G204" s="250">
        <f>'conteo 2'!G85</f>
        <v>2</v>
      </c>
      <c r="H204" s="250">
        <f>'conteo 2'!H85</f>
        <v>1</v>
      </c>
      <c r="I204" s="315">
        <f>SUM(C204:H204)</f>
        <v>106</v>
      </c>
      <c r="J204" s="250"/>
      <c r="K204" s="250"/>
      <c r="L204" s="252"/>
      <c r="M204" s="253">
        <f>'conteo 2'!M85</f>
        <v>3</v>
      </c>
      <c r="N204" s="250">
        <f>'conteo 2'!N85</f>
        <v>74</v>
      </c>
      <c r="O204" s="250">
        <f>'conteo 2'!O85</f>
        <v>8</v>
      </c>
      <c r="P204" s="250">
        <f>'conteo 2'!P85</f>
        <v>5</v>
      </c>
      <c r="Q204" s="250">
        <f>'conteo 2'!Q85</f>
        <v>1</v>
      </c>
      <c r="R204" s="250">
        <f>'conteo 2'!R85</f>
        <v>1</v>
      </c>
      <c r="S204" s="252">
        <f>SUM(M204:R204)</f>
        <v>92</v>
      </c>
      <c r="T204" s="246"/>
      <c r="U204" s="246"/>
      <c r="V204" s="246"/>
      <c r="AC204" s="208"/>
    </row>
    <row r="205" spans="1:29">
      <c r="A205" s="617" t="s">
        <v>211</v>
      </c>
      <c r="B205" s="618"/>
      <c r="C205" s="253">
        <f>C203</f>
        <v>2</v>
      </c>
      <c r="D205" s="250">
        <f>D203</f>
        <v>126</v>
      </c>
      <c r="E205" s="250">
        <f>E204</f>
        <v>9</v>
      </c>
      <c r="F205" s="250">
        <f>F204</f>
        <v>6</v>
      </c>
      <c r="G205" s="250">
        <f>G204</f>
        <v>2</v>
      </c>
      <c r="H205" s="250">
        <f>H204</f>
        <v>1</v>
      </c>
      <c r="I205" s="250">
        <f>SUM(C205:H205)</f>
        <v>146</v>
      </c>
      <c r="J205" s="229"/>
      <c r="K205" s="229"/>
      <c r="L205" s="191"/>
      <c r="M205" s="254">
        <f>M203</f>
        <v>3</v>
      </c>
      <c r="N205" s="243">
        <f>N203</f>
        <v>108</v>
      </c>
      <c r="O205" s="249">
        <f>O204</f>
        <v>8</v>
      </c>
      <c r="P205" s="249">
        <f>P204</f>
        <v>5</v>
      </c>
      <c r="Q205" s="249">
        <f>Q204</f>
        <v>1</v>
      </c>
      <c r="R205" s="249">
        <f>R204</f>
        <v>1</v>
      </c>
      <c r="S205" s="251">
        <f>SUM(M205:R205)</f>
        <v>126</v>
      </c>
      <c r="AC205" s="208"/>
    </row>
    <row r="206" spans="1:29" ht="15.75" thickBot="1">
      <c r="A206" s="190" t="s">
        <v>200</v>
      </c>
      <c r="B206" s="323"/>
      <c r="C206" s="324">
        <f t="shared" ref="C206:H206" si="34">ROUND((C205*12),0)</f>
        <v>24</v>
      </c>
      <c r="D206" s="322">
        <f t="shared" si="34"/>
        <v>1512</v>
      </c>
      <c r="E206" s="322">
        <f t="shared" si="34"/>
        <v>108</v>
      </c>
      <c r="F206" s="322">
        <f t="shared" si="34"/>
        <v>72</v>
      </c>
      <c r="G206" s="322">
        <f t="shared" si="34"/>
        <v>24</v>
      </c>
      <c r="H206" s="322">
        <f t="shared" si="34"/>
        <v>12</v>
      </c>
      <c r="I206" s="322">
        <f>SUM(C206:H206)</f>
        <v>1752</v>
      </c>
      <c r="J206" s="244"/>
      <c r="K206" s="244"/>
      <c r="L206" s="245"/>
      <c r="M206" s="313">
        <f t="shared" ref="M206:R206" si="35">ROUND((M205*12),0)</f>
        <v>36</v>
      </c>
      <c r="N206" s="244">
        <f t="shared" si="35"/>
        <v>1296</v>
      </c>
      <c r="O206" s="244">
        <f t="shared" si="35"/>
        <v>96</v>
      </c>
      <c r="P206" s="244">
        <f t="shared" si="35"/>
        <v>60</v>
      </c>
      <c r="Q206" s="244">
        <f t="shared" si="35"/>
        <v>12</v>
      </c>
      <c r="R206" s="244">
        <f t="shared" si="35"/>
        <v>12</v>
      </c>
      <c r="S206" s="314">
        <f>SUM(M206:R206)</f>
        <v>1512</v>
      </c>
      <c r="Y206" s="234"/>
      <c r="Z206" s="234"/>
      <c r="AA206" s="208"/>
      <c r="AB206" s="208"/>
      <c r="AC206" s="208"/>
    </row>
    <row r="207" spans="1:29" s="255" customFormat="1" ht="15.75" thickBot="1">
      <c r="A207" s="580"/>
      <c r="B207" s="884"/>
      <c r="C207" s="884"/>
      <c r="D207" s="884"/>
      <c r="E207" s="884"/>
      <c r="F207" s="884"/>
      <c r="G207" s="884"/>
      <c r="H207" s="884"/>
      <c r="I207" s="884"/>
      <c r="J207" s="884"/>
      <c r="K207" s="884"/>
      <c r="L207" s="884"/>
      <c r="M207" s="866"/>
      <c r="N207" s="866"/>
      <c r="O207" s="866"/>
      <c r="P207" s="866"/>
      <c r="Q207" s="866"/>
      <c r="R207" s="866"/>
      <c r="S207" s="886"/>
      <c r="Y207" s="234"/>
      <c r="Z207" s="234"/>
      <c r="AA207" s="208"/>
      <c r="AB207" s="208"/>
      <c r="AC207" s="208"/>
    </row>
    <row r="208" spans="1:29" s="255" customFormat="1" ht="30.75" customHeight="1" thickBot="1">
      <c r="A208" s="888" t="s">
        <v>278</v>
      </c>
      <c r="B208" s="889"/>
      <c r="C208" s="863">
        <f>C206+M206</f>
        <v>60</v>
      </c>
      <c r="D208" s="863">
        <f>D206+N206</f>
        <v>2808</v>
      </c>
      <c r="E208" s="863">
        <f>E206+O206</f>
        <v>204</v>
      </c>
      <c r="F208" s="863">
        <f>F206+P206</f>
        <v>132</v>
      </c>
      <c r="G208" s="863">
        <f>G206+Q206</f>
        <v>36</v>
      </c>
      <c r="H208" s="863">
        <f>H206+R206</f>
        <v>24</v>
      </c>
      <c r="I208" s="870">
        <f>I206+S206</f>
        <v>3264</v>
      </c>
      <c r="J208" s="863">
        <f>J206+T206</f>
        <v>0</v>
      </c>
      <c r="K208" s="863">
        <f>K206+U206</f>
        <v>0</v>
      </c>
      <c r="L208" s="883">
        <f>L206+V206</f>
        <v>0</v>
      </c>
      <c r="M208" s="885"/>
      <c r="N208" s="885"/>
      <c r="O208" s="885"/>
      <c r="P208" s="885"/>
      <c r="Q208" s="885"/>
      <c r="R208" s="885"/>
      <c r="S208" s="887"/>
      <c r="Y208" s="234"/>
      <c r="Z208" s="234"/>
      <c r="AA208" s="208"/>
      <c r="AB208" s="208"/>
      <c r="AC208" s="208"/>
    </row>
    <row r="209" spans="1:29" s="255" customFormat="1" ht="15.75" thickBot="1">
      <c r="A209" s="634"/>
      <c r="B209" s="634"/>
      <c r="C209" s="863"/>
      <c r="D209" s="864"/>
      <c r="E209" s="864"/>
      <c r="F209" s="864"/>
      <c r="G209" s="864"/>
      <c r="H209" s="864"/>
      <c r="I209" s="864"/>
      <c r="J209" s="865"/>
      <c r="K209" s="865"/>
      <c r="L209" s="867"/>
      <c r="M209" s="868"/>
      <c r="N209" s="868"/>
      <c r="O209" s="868"/>
      <c r="P209" s="868"/>
      <c r="Q209" s="868"/>
      <c r="R209" s="868"/>
      <c r="S209" s="869"/>
      <c r="Y209" s="234"/>
      <c r="Z209" s="234"/>
      <c r="AA209" s="208"/>
      <c r="AB209" s="208"/>
      <c r="AC209" s="208"/>
    </row>
    <row r="210" spans="1:29">
      <c r="A210" s="174" t="s">
        <v>202</v>
      </c>
      <c r="B210" s="25"/>
      <c r="C210" s="317"/>
      <c r="D210" s="317"/>
      <c r="E210" s="317"/>
      <c r="F210" s="317"/>
      <c r="G210" s="317"/>
      <c r="H210" s="317"/>
      <c r="I210" s="318"/>
      <c r="J210" s="319"/>
      <c r="K210" s="319"/>
      <c r="L210" s="320"/>
      <c r="M210" s="321"/>
      <c r="N210" s="319"/>
      <c r="O210" s="319"/>
      <c r="P210" s="319"/>
      <c r="Q210" s="319"/>
      <c r="R210" s="319"/>
      <c r="S210" s="312"/>
      <c r="AA210" s="208"/>
      <c r="AB210" s="848"/>
    </row>
    <row r="211" spans="1:29" ht="15.75" thickBot="1">
      <c r="A211" s="190" t="s">
        <v>201</v>
      </c>
      <c r="B211" s="155"/>
      <c r="C211" s="316">
        <f t="shared" ref="C211:H211" si="36">C206+C210</f>
        <v>24</v>
      </c>
      <c r="D211" s="316">
        <f>D206+D210</f>
        <v>1512</v>
      </c>
      <c r="E211" s="316">
        <f t="shared" si="36"/>
        <v>108</v>
      </c>
      <c r="F211" s="316">
        <f t="shared" si="36"/>
        <v>72</v>
      </c>
      <c r="G211" s="316">
        <f t="shared" si="36"/>
        <v>24</v>
      </c>
      <c r="H211" s="316">
        <f t="shared" si="36"/>
        <v>12</v>
      </c>
      <c r="I211" s="315">
        <f>SUM(C211:H211)</f>
        <v>1752</v>
      </c>
      <c r="J211" s="244"/>
      <c r="K211" s="244"/>
      <c r="L211" s="245"/>
      <c r="M211" s="313">
        <f t="shared" ref="M211:R211" si="37">M206+M210</f>
        <v>36</v>
      </c>
      <c r="N211" s="244">
        <f t="shared" si="37"/>
        <v>1296</v>
      </c>
      <c r="O211" s="244">
        <f t="shared" si="37"/>
        <v>96</v>
      </c>
      <c r="P211" s="244">
        <f t="shared" si="37"/>
        <v>60</v>
      </c>
      <c r="Q211" s="244">
        <f t="shared" si="37"/>
        <v>12</v>
      </c>
      <c r="R211" s="244">
        <f t="shared" si="37"/>
        <v>12</v>
      </c>
      <c r="S211" s="314">
        <f>SUM(M211:R211)</f>
        <v>1512</v>
      </c>
    </row>
    <row r="213" spans="1:29">
      <c r="C213" s="137">
        <f>C206/$L$187</f>
        <v>29.901639344262293</v>
      </c>
      <c r="D213" s="137">
        <f>D206/$L$187</f>
        <v>1883.8032786885244</v>
      </c>
      <c r="E213" s="137">
        <f>E206/$L$187</f>
        <v>134.55737704918033</v>
      </c>
      <c r="F213" s="137">
        <f>F206/$L$187</f>
        <v>89.704918032786878</v>
      </c>
      <c r="G213" s="137">
        <f>G206/$L$187</f>
        <v>29.901639344262293</v>
      </c>
      <c r="H213" s="137">
        <f>H206/$L$187</f>
        <v>14.950819672131146</v>
      </c>
      <c r="I213" s="311">
        <f>I211/I206</f>
        <v>1</v>
      </c>
    </row>
    <row r="214" spans="1:29" ht="15.75" thickBot="1"/>
    <row r="215" spans="1:29" ht="15.75" thickBot="1">
      <c r="B215" s="558" t="s">
        <v>65</v>
      </c>
      <c r="C215" s="559"/>
      <c r="D215" s="560"/>
      <c r="F215" s="137">
        <f>C213+D213+E213+F213+G213+H213</f>
        <v>2182.8196721311469</v>
      </c>
    </row>
    <row r="216" spans="1:29">
      <c r="B216" s="325" t="s">
        <v>41</v>
      </c>
      <c r="C216" s="33"/>
      <c r="D216" s="247">
        <f>C208</f>
        <v>60</v>
      </c>
    </row>
    <row r="217" spans="1:29">
      <c r="B217" s="326" t="s">
        <v>42</v>
      </c>
      <c r="C217" s="10" t="s">
        <v>34</v>
      </c>
      <c r="D217" s="248">
        <f>D208</f>
        <v>2808</v>
      </c>
    </row>
    <row r="218" spans="1:29">
      <c r="B218" s="326" t="s">
        <v>8</v>
      </c>
      <c r="C218" s="10" t="s">
        <v>35</v>
      </c>
      <c r="D218" s="248">
        <f>E208</f>
        <v>204</v>
      </c>
    </row>
    <row r="219" spans="1:29">
      <c r="B219" s="326" t="s">
        <v>46</v>
      </c>
      <c r="C219" s="10" t="s">
        <v>36</v>
      </c>
      <c r="D219" s="248">
        <f>F208</f>
        <v>132</v>
      </c>
    </row>
    <row r="220" spans="1:29">
      <c r="B220" s="326" t="s">
        <v>46</v>
      </c>
      <c r="C220" s="10" t="s">
        <v>102</v>
      </c>
      <c r="D220" s="248">
        <f>G208</f>
        <v>36</v>
      </c>
    </row>
    <row r="221" spans="1:29" ht="15.75" thickBot="1">
      <c r="B221" s="327" t="s">
        <v>103</v>
      </c>
      <c r="C221" s="27" t="s">
        <v>104</v>
      </c>
      <c r="D221" s="245">
        <f>H208</f>
        <v>24</v>
      </c>
    </row>
  </sheetData>
  <mergeCells count="122">
    <mergeCell ref="T172:T174"/>
    <mergeCell ref="V172:V174"/>
    <mergeCell ref="J187:J189"/>
    <mergeCell ref="L187:L189"/>
    <mergeCell ref="T187:T189"/>
    <mergeCell ref="V187:V189"/>
    <mergeCell ref="A208:B208"/>
    <mergeCell ref="A209:B209"/>
    <mergeCell ref="A207:S207"/>
    <mergeCell ref="M208:S208"/>
    <mergeCell ref="A189:B189"/>
    <mergeCell ref="A203:B203"/>
    <mergeCell ref="A204:B204"/>
    <mergeCell ref="A199:B199"/>
    <mergeCell ref="A201:B201"/>
    <mergeCell ref="I172:I174"/>
    <mergeCell ref="J172:J174"/>
    <mergeCell ref="L172:L174"/>
    <mergeCell ref="S172:S174"/>
    <mergeCell ref="A205:B205"/>
    <mergeCell ref="M199:S199"/>
    <mergeCell ref="C199:L199"/>
    <mergeCell ref="C200:D200"/>
    <mergeCell ref="E200:H200"/>
    <mergeCell ref="I200:I201"/>
    <mergeCell ref="J200:J201"/>
    <mergeCell ref="K200:K201"/>
    <mergeCell ref="L200:L201"/>
    <mergeCell ref="M200:N200"/>
    <mergeCell ref="O200:R200"/>
    <mergeCell ref="S200:S201"/>
    <mergeCell ref="A172:B172"/>
    <mergeCell ref="A173:B173"/>
    <mergeCell ref="A174:B174"/>
    <mergeCell ref="A202:B202"/>
    <mergeCell ref="T200:T201"/>
    <mergeCell ref="U200:U201"/>
    <mergeCell ref="V200:V201"/>
    <mergeCell ref="K104:K115"/>
    <mergeCell ref="L104:L115"/>
    <mergeCell ref="U104:U115"/>
    <mergeCell ref="V104:V115"/>
    <mergeCell ref="K116:K127"/>
    <mergeCell ref="L116:L127"/>
    <mergeCell ref="U116:U127"/>
    <mergeCell ref="V116:V127"/>
    <mergeCell ref="K128:K139"/>
    <mergeCell ref="L128:L139"/>
    <mergeCell ref="U128:U139"/>
    <mergeCell ref="V128:V139"/>
    <mergeCell ref="K140:K151"/>
    <mergeCell ref="L140:L151"/>
    <mergeCell ref="U140:U151"/>
    <mergeCell ref="V140:V151"/>
    <mergeCell ref="A188:B188"/>
    <mergeCell ref="L92:L103"/>
    <mergeCell ref="U92:U103"/>
    <mergeCell ref="V92:V103"/>
    <mergeCell ref="L8:L19"/>
    <mergeCell ref="K32:K43"/>
    <mergeCell ref="L32:L43"/>
    <mergeCell ref="K56:K67"/>
    <mergeCell ref="L56:L67"/>
    <mergeCell ref="U56:U67"/>
    <mergeCell ref="V56:V67"/>
    <mergeCell ref="K68:K79"/>
    <mergeCell ref="L68:L79"/>
    <mergeCell ref="U68:U79"/>
    <mergeCell ref="V68:V79"/>
    <mergeCell ref="U32:U43"/>
    <mergeCell ref="V32:V43"/>
    <mergeCell ref="K44:K55"/>
    <mergeCell ref="L44:L55"/>
    <mergeCell ref="U44:U55"/>
    <mergeCell ref="A1:D3"/>
    <mergeCell ref="E1:V1"/>
    <mergeCell ref="E2:V2"/>
    <mergeCell ref="H3:V3"/>
    <mergeCell ref="E4:V4"/>
    <mergeCell ref="B4:D4"/>
    <mergeCell ref="C5:L5"/>
    <mergeCell ref="M5:V5"/>
    <mergeCell ref="V44:V55"/>
    <mergeCell ref="A5:B5"/>
    <mergeCell ref="M6:N6"/>
    <mergeCell ref="O6:R6"/>
    <mergeCell ref="S6:S7"/>
    <mergeCell ref="T6:T7"/>
    <mergeCell ref="E6:H6"/>
    <mergeCell ref="I6:I7"/>
    <mergeCell ref="J6:J7"/>
    <mergeCell ref="U8:U19"/>
    <mergeCell ref="V8:V19"/>
    <mergeCell ref="K20:K31"/>
    <mergeCell ref="L20:L31"/>
    <mergeCell ref="U20:U31"/>
    <mergeCell ref="V20:V31"/>
    <mergeCell ref="K6:K7"/>
    <mergeCell ref="B215:D215"/>
    <mergeCell ref="V6:V7"/>
    <mergeCell ref="U6:U7"/>
    <mergeCell ref="A187:B187"/>
    <mergeCell ref="A171:B171"/>
    <mergeCell ref="C171:L171"/>
    <mergeCell ref="M171:V171"/>
    <mergeCell ref="C172:D172"/>
    <mergeCell ref="E172:H172"/>
    <mergeCell ref="K172:K173"/>
    <mergeCell ref="M172:N172"/>
    <mergeCell ref="O172:R172"/>
    <mergeCell ref="A200:B200"/>
    <mergeCell ref="K8:K19"/>
    <mergeCell ref="U172:U173"/>
    <mergeCell ref="L6:L7"/>
    <mergeCell ref="A153:B153"/>
    <mergeCell ref="A6:B7"/>
    <mergeCell ref="C6:D6"/>
    <mergeCell ref="K80:K91"/>
    <mergeCell ref="L80:L91"/>
    <mergeCell ref="U80:U91"/>
    <mergeCell ref="V80:V91"/>
    <mergeCell ref="K92:K103"/>
  </mergeCells>
  <pageMargins left="0.31496062992125984" right="0.31496062992125984" top="0.74803149606299213" bottom="0.74803149606299213" header="0.31496062992125984" footer="0.31496062992125984"/>
  <pageSetup scale="94" orientation="landscape" r:id="rId1"/>
  <rowBreaks count="1" manualBreakCount="1">
    <brk id="31" max="16383" man="1"/>
  </rowBreaks>
  <colBreaks count="1" manualBreakCount="1">
    <brk id="22" max="1048575" man="1"/>
  </colBreaks>
  <ignoredErrors>
    <ignoredError sqref="D175 D176:D186 C177:C185 E175:F186 M175:O18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34" zoomScale="86" zoomScaleNormal="86" workbookViewId="0">
      <selection activeCell="F88" sqref="F88"/>
    </sheetView>
  </sheetViews>
  <sheetFormatPr baseColWidth="10" defaultRowHeight="15"/>
  <cols>
    <col min="1" max="2" width="8.85546875" customWidth="1"/>
    <col min="3" max="3" width="5.140625" customWidth="1"/>
    <col min="4" max="4" width="6.28515625" customWidth="1"/>
    <col min="5" max="5" width="5.140625" customWidth="1"/>
    <col min="6" max="7" width="5.140625" style="228" customWidth="1"/>
    <col min="8" max="8" width="5.140625" customWidth="1"/>
    <col min="9" max="9" width="5.85546875" customWidth="1"/>
    <col min="10" max="10" width="6.140625" customWidth="1"/>
    <col min="11" max="11" width="5.7109375" hidden="1" customWidth="1"/>
    <col min="12" max="12" width="6.140625" customWidth="1"/>
    <col min="13" max="13" width="5.140625" customWidth="1"/>
    <col min="14" max="14" width="6.140625" customWidth="1"/>
    <col min="15" max="15" width="5.140625" customWidth="1"/>
    <col min="16" max="17" width="5.140625" style="228" customWidth="1"/>
    <col min="18" max="18" width="5.140625" customWidth="1"/>
    <col min="19" max="19" width="6.140625" customWidth="1"/>
    <col min="20" max="20" width="6" customWidth="1"/>
    <col min="21" max="21" width="5.7109375" hidden="1" customWidth="1"/>
    <col min="22" max="22" width="6.28515625" customWidth="1"/>
  </cols>
  <sheetData>
    <row r="1" spans="1:27">
      <c r="A1" s="636" t="s">
        <v>10</v>
      </c>
      <c r="B1" s="637"/>
      <c r="C1" s="637"/>
      <c r="D1" s="638"/>
      <c r="E1" s="641" t="s">
        <v>11</v>
      </c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3"/>
    </row>
    <row r="2" spans="1:27">
      <c r="A2" s="639"/>
      <c r="B2" s="589"/>
      <c r="C2" s="589"/>
      <c r="D2" s="590"/>
      <c r="E2" s="596" t="s">
        <v>15</v>
      </c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644"/>
    </row>
    <row r="3" spans="1:27">
      <c r="A3" s="640"/>
      <c r="B3" s="592"/>
      <c r="C3" s="592"/>
      <c r="D3" s="593"/>
      <c r="E3" s="11" t="s">
        <v>12</v>
      </c>
      <c r="F3" s="242"/>
      <c r="G3" s="242"/>
      <c r="H3" s="596" t="s">
        <v>13</v>
      </c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644"/>
    </row>
    <row r="4" spans="1:27">
      <c r="A4" s="97" t="s">
        <v>0</v>
      </c>
      <c r="B4" s="598" t="s">
        <v>199</v>
      </c>
      <c r="C4" s="598"/>
      <c r="D4" s="599"/>
      <c r="E4" s="596" t="s">
        <v>14</v>
      </c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644"/>
    </row>
    <row r="5" spans="1:27" ht="15.75" thickBot="1">
      <c r="A5" s="533" t="s">
        <v>16</v>
      </c>
      <c r="B5" s="534"/>
      <c r="C5" s="600" t="s">
        <v>17</v>
      </c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45"/>
      <c r="X5">
        <v>1</v>
      </c>
    </row>
    <row r="6" spans="1:27" ht="15" customHeight="1">
      <c r="A6" s="582" t="s">
        <v>1</v>
      </c>
      <c r="B6" s="583"/>
      <c r="C6" s="582" t="s">
        <v>2</v>
      </c>
      <c r="D6" s="605"/>
      <c r="E6" s="606" t="s">
        <v>3</v>
      </c>
      <c r="F6" s="606"/>
      <c r="G6" s="606"/>
      <c r="H6" s="606"/>
      <c r="I6" s="607" t="s">
        <v>195</v>
      </c>
      <c r="J6" s="607" t="s">
        <v>196</v>
      </c>
      <c r="K6" s="563" t="s">
        <v>4</v>
      </c>
      <c r="L6" s="563" t="s">
        <v>5</v>
      </c>
      <c r="M6" s="582" t="s">
        <v>2</v>
      </c>
      <c r="N6" s="605"/>
      <c r="O6" s="606" t="s">
        <v>3</v>
      </c>
      <c r="P6" s="606"/>
      <c r="Q6" s="606"/>
      <c r="R6" s="606"/>
      <c r="S6" s="607" t="s">
        <v>195</v>
      </c>
      <c r="T6" s="607" t="s">
        <v>196</v>
      </c>
      <c r="U6" s="563" t="s">
        <v>4</v>
      </c>
      <c r="V6" s="561" t="s">
        <v>5</v>
      </c>
    </row>
    <row r="7" spans="1:27" ht="83.25" customHeight="1" thickBot="1">
      <c r="A7" s="542"/>
      <c r="B7" s="584"/>
      <c r="C7" s="1" t="s">
        <v>6</v>
      </c>
      <c r="D7" s="2" t="s">
        <v>7</v>
      </c>
      <c r="E7" s="3" t="s">
        <v>8</v>
      </c>
      <c r="F7" s="3" t="s">
        <v>9</v>
      </c>
      <c r="G7" s="3" t="s">
        <v>9</v>
      </c>
      <c r="H7" s="3" t="s">
        <v>197</v>
      </c>
      <c r="I7" s="608"/>
      <c r="J7" s="608"/>
      <c r="K7" s="564"/>
      <c r="L7" s="564"/>
      <c r="M7" s="1" t="s">
        <v>6</v>
      </c>
      <c r="N7" s="2" t="s">
        <v>7</v>
      </c>
      <c r="O7" s="3" t="s">
        <v>8</v>
      </c>
      <c r="P7" s="3" t="s">
        <v>9</v>
      </c>
      <c r="Q7" s="3" t="s">
        <v>9</v>
      </c>
      <c r="R7" s="3" t="s">
        <v>197</v>
      </c>
      <c r="S7" s="608"/>
      <c r="T7" s="608"/>
      <c r="U7" s="564"/>
      <c r="V7" s="562"/>
    </row>
    <row r="8" spans="1:27">
      <c r="A8" s="79">
        <v>0.41666666666666702</v>
      </c>
      <c r="B8" s="80">
        <v>0.42013888888888901</v>
      </c>
      <c r="C8" s="174"/>
      <c r="D8" s="25">
        <v>6</v>
      </c>
      <c r="E8" s="6"/>
      <c r="F8" s="25">
        <v>1</v>
      </c>
      <c r="G8" s="25"/>
      <c r="H8" s="25"/>
      <c r="I8" s="6">
        <f>C8+D8+$X$5*(E8+F8+G8+H8)</f>
        <v>7</v>
      </c>
      <c r="J8" s="6"/>
      <c r="K8" s="577">
        <f>+SUM(I8:I19)</f>
        <v>79</v>
      </c>
      <c r="L8" s="609">
        <f>+K8/(4*MAX(J10:J19))</f>
        <v>0.89772727272727271</v>
      </c>
      <c r="M8" s="174">
        <v>1</v>
      </c>
      <c r="N8" s="25">
        <v>5</v>
      </c>
      <c r="O8" s="25"/>
      <c r="P8" s="25"/>
      <c r="Q8" s="25"/>
      <c r="R8" s="25">
        <v>1</v>
      </c>
      <c r="S8" s="6">
        <f>M8+N8+$X$5*(O8+P8+Q8+R8)</f>
        <v>7</v>
      </c>
      <c r="T8" s="6"/>
      <c r="U8" s="577">
        <f>+SUM(S8:S19)</f>
        <v>78</v>
      </c>
      <c r="V8" s="602">
        <f>+U8/(4*MAX(T10:T19))</f>
        <v>0.9285714285714286</v>
      </c>
      <c r="X8">
        <f>SUM(H8:H19)</f>
        <v>1</v>
      </c>
      <c r="Z8" t="s">
        <v>99</v>
      </c>
      <c r="AA8">
        <f>SUM(R8:R19)</f>
        <v>1</v>
      </c>
    </row>
    <row r="9" spans="1:27">
      <c r="A9" s="81">
        <v>0.42013888888888901</v>
      </c>
      <c r="B9" s="82">
        <v>0.42361111111111099</v>
      </c>
      <c r="C9" s="189"/>
      <c r="D9" s="229">
        <v>5</v>
      </c>
      <c r="E9" s="229">
        <v>1</v>
      </c>
      <c r="F9" s="229"/>
      <c r="G9" s="229"/>
      <c r="H9" s="229"/>
      <c r="I9" s="6">
        <f t="shared" ref="I9:I55" si="0">C9+D9+$X$5*(E9+F9+G9+H9)</f>
        <v>6</v>
      </c>
      <c r="J9" s="7"/>
      <c r="K9" s="578"/>
      <c r="L9" s="610"/>
      <c r="M9" s="189">
        <v>1</v>
      </c>
      <c r="N9" s="229">
        <v>4</v>
      </c>
      <c r="O9" s="229">
        <v>2</v>
      </c>
      <c r="P9" s="229"/>
      <c r="Q9" s="229"/>
      <c r="R9" s="229"/>
      <c r="S9" s="6">
        <f t="shared" ref="S9:S55" si="1">M9+N9+$X$5*(O9+P9+Q9+R9)</f>
        <v>7</v>
      </c>
      <c r="T9" s="7"/>
      <c r="U9" s="578"/>
      <c r="V9" s="603"/>
    </row>
    <row r="10" spans="1:27">
      <c r="A10" s="81">
        <v>0.42361111111111099</v>
      </c>
      <c r="B10" s="83">
        <v>0.42708333333333298</v>
      </c>
      <c r="C10" s="189"/>
      <c r="D10" s="229">
        <v>4</v>
      </c>
      <c r="E10" s="229">
        <v>1</v>
      </c>
      <c r="F10" s="229"/>
      <c r="G10" s="229"/>
      <c r="H10" s="229"/>
      <c r="I10" s="6">
        <f t="shared" si="0"/>
        <v>5</v>
      </c>
      <c r="J10" s="7">
        <f t="shared" ref="J10:J38" si="2">I8+I9+I10</f>
        <v>18</v>
      </c>
      <c r="K10" s="578"/>
      <c r="L10" s="610"/>
      <c r="M10" s="189"/>
      <c r="N10" s="229">
        <v>4</v>
      </c>
      <c r="O10" s="229"/>
      <c r="P10" s="229">
        <v>1</v>
      </c>
      <c r="Q10" s="229"/>
      <c r="R10" s="229"/>
      <c r="S10" s="6">
        <f t="shared" ref="S10:S15" si="3">M10+N10+$X$5*(O10+P10+Q10+R10)</f>
        <v>5</v>
      </c>
      <c r="T10" s="7">
        <f t="shared" ref="T10:T38" si="4">S8+S9+S10</f>
        <v>19</v>
      </c>
      <c r="U10" s="578"/>
      <c r="V10" s="603"/>
    </row>
    <row r="11" spans="1:27">
      <c r="A11" s="81">
        <v>0.42708333333333298</v>
      </c>
      <c r="B11" s="82">
        <v>0.43055555555555503</v>
      </c>
      <c r="C11" s="189"/>
      <c r="D11" s="229">
        <v>4</v>
      </c>
      <c r="E11" s="229">
        <v>1</v>
      </c>
      <c r="F11" s="229">
        <v>1</v>
      </c>
      <c r="G11" s="229"/>
      <c r="H11" s="229">
        <v>1</v>
      </c>
      <c r="I11" s="6">
        <f t="shared" si="0"/>
        <v>7</v>
      </c>
      <c r="J11" s="7">
        <f t="shared" si="2"/>
        <v>18</v>
      </c>
      <c r="K11" s="578"/>
      <c r="L11" s="610"/>
      <c r="M11" s="189">
        <v>1</v>
      </c>
      <c r="N11" s="229">
        <v>5</v>
      </c>
      <c r="O11" s="229"/>
      <c r="P11" s="229"/>
      <c r="Q11" s="229"/>
      <c r="R11" s="229"/>
      <c r="S11" s="6">
        <f t="shared" si="3"/>
        <v>6</v>
      </c>
      <c r="T11" s="7">
        <f t="shared" si="4"/>
        <v>18</v>
      </c>
      <c r="U11" s="578"/>
      <c r="V11" s="603"/>
      <c r="W11" t="s">
        <v>99</v>
      </c>
    </row>
    <row r="12" spans="1:27">
      <c r="A12" s="81">
        <v>0.43055555555555503</v>
      </c>
      <c r="B12" s="83">
        <v>0.43402777777777701</v>
      </c>
      <c r="C12" s="189"/>
      <c r="D12" s="229">
        <v>7</v>
      </c>
      <c r="E12" s="229"/>
      <c r="F12" s="229"/>
      <c r="G12" s="229"/>
      <c r="H12" s="229"/>
      <c r="I12" s="6">
        <f t="shared" si="0"/>
        <v>7</v>
      </c>
      <c r="J12" s="7">
        <f t="shared" si="2"/>
        <v>19</v>
      </c>
      <c r="K12" s="578"/>
      <c r="L12" s="610"/>
      <c r="M12" s="189"/>
      <c r="N12" s="229">
        <v>7</v>
      </c>
      <c r="O12" s="229">
        <v>2</v>
      </c>
      <c r="P12" s="229">
        <v>1</v>
      </c>
      <c r="Q12" s="229"/>
      <c r="R12" s="229"/>
      <c r="S12" s="6">
        <f t="shared" si="3"/>
        <v>10</v>
      </c>
      <c r="T12" s="7">
        <f t="shared" si="4"/>
        <v>21</v>
      </c>
      <c r="U12" s="578"/>
      <c r="V12" s="603"/>
    </row>
    <row r="13" spans="1:27">
      <c r="A13" s="81">
        <v>0.43402777777777801</v>
      </c>
      <c r="B13" s="82">
        <v>0.4375</v>
      </c>
      <c r="C13" s="189"/>
      <c r="D13" s="229">
        <v>5</v>
      </c>
      <c r="E13" s="229">
        <v>2</v>
      </c>
      <c r="F13" s="229">
        <v>1</v>
      </c>
      <c r="G13" s="229"/>
      <c r="H13" s="229"/>
      <c r="I13" s="6">
        <f t="shared" si="0"/>
        <v>8</v>
      </c>
      <c r="J13" s="7">
        <f t="shared" si="2"/>
        <v>22</v>
      </c>
      <c r="K13" s="578"/>
      <c r="L13" s="610"/>
      <c r="M13" s="189"/>
      <c r="N13" s="229">
        <v>5</v>
      </c>
      <c r="O13" s="229"/>
      <c r="P13" s="229"/>
      <c r="Q13" s="229"/>
      <c r="R13" s="229"/>
      <c r="S13" s="6">
        <f t="shared" si="3"/>
        <v>5</v>
      </c>
      <c r="T13" s="7">
        <f t="shared" si="4"/>
        <v>21</v>
      </c>
      <c r="U13" s="578"/>
      <c r="V13" s="603"/>
    </row>
    <row r="14" spans="1:27">
      <c r="A14" s="81">
        <v>0.4375</v>
      </c>
      <c r="B14" s="83">
        <v>0.44097222222222199</v>
      </c>
      <c r="C14" s="189">
        <v>1</v>
      </c>
      <c r="D14" s="229">
        <v>5</v>
      </c>
      <c r="E14" s="229"/>
      <c r="F14" s="229"/>
      <c r="G14" s="229"/>
      <c r="H14" s="229"/>
      <c r="I14" s="6">
        <f t="shared" si="0"/>
        <v>6</v>
      </c>
      <c r="J14" s="7">
        <f t="shared" si="2"/>
        <v>21</v>
      </c>
      <c r="K14" s="578"/>
      <c r="L14" s="610"/>
      <c r="M14" s="189"/>
      <c r="N14" s="229">
        <v>5</v>
      </c>
      <c r="O14" s="229"/>
      <c r="P14" s="229">
        <v>1</v>
      </c>
      <c r="Q14" s="229"/>
      <c r="R14" s="229"/>
      <c r="S14" s="6">
        <f t="shared" si="3"/>
        <v>6</v>
      </c>
      <c r="T14" s="7">
        <f t="shared" si="4"/>
        <v>21</v>
      </c>
      <c r="U14" s="578"/>
      <c r="V14" s="603"/>
    </row>
    <row r="15" spans="1:27">
      <c r="A15" s="81">
        <v>0.44097222222222199</v>
      </c>
      <c r="B15" s="82">
        <v>0.44444444444444398</v>
      </c>
      <c r="C15" s="189"/>
      <c r="D15" s="229">
        <v>6</v>
      </c>
      <c r="E15" s="229">
        <v>1</v>
      </c>
      <c r="F15" s="229">
        <v>1</v>
      </c>
      <c r="G15" s="229"/>
      <c r="H15" s="229"/>
      <c r="I15" s="6">
        <f t="shared" si="0"/>
        <v>8</v>
      </c>
      <c r="J15" s="7">
        <f t="shared" si="2"/>
        <v>22</v>
      </c>
      <c r="K15" s="578"/>
      <c r="L15" s="610"/>
      <c r="M15" s="189"/>
      <c r="N15" s="229">
        <v>4</v>
      </c>
      <c r="O15" s="229">
        <v>2</v>
      </c>
      <c r="P15" s="229"/>
      <c r="Q15" s="229"/>
      <c r="R15" s="229"/>
      <c r="S15" s="6">
        <f t="shared" si="3"/>
        <v>6</v>
      </c>
      <c r="T15" s="7">
        <f t="shared" si="4"/>
        <v>17</v>
      </c>
      <c r="U15" s="578"/>
      <c r="V15" s="603"/>
    </row>
    <row r="16" spans="1:27">
      <c r="A16" s="81">
        <v>0.44444444444444398</v>
      </c>
      <c r="B16" s="83">
        <v>0.44791666666666602</v>
      </c>
      <c r="C16" s="189"/>
      <c r="D16" s="229">
        <v>5</v>
      </c>
      <c r="E16" s="229">
        <v>1</v>
      </c>
      <c r="F16" s="229"/>
      <c r="G16" s="229"/>
      <c r="H16" s="229"/>
      <c r="I16" s="6">
        <f t="shared" si="0"/>
        <v>6</v>
      </c>
      <c r="J16" s="7">
        <f t="shared" si="2"/>
        <v>20</v>
      </c>
      <c r="K16" s="578"/>
      <c r="L16" s="610"/>
      <c r="M16" s="189">
        <v>1</v>
      </c>
      <c r="N16" s="229">
        <v>6</v>
      </c>
      <c r="O16" s="229"/>
      <c r="P16" s="229"/>
      <c r="Q16" s="229"/>
      <c r="R16" s="229"/>
      <c r="S16" s="6">
        <f t="shared" si="1"/>
        <v>7</v>
      </c>
      <c r="T16" s="7">
        <f t="shared" si="4"/>
        <v>19</v>
      </c>
      <c r="U16" s="578"/>
      <c r="V16" s="603"/>
    </row>
    <row r="17" spans="1:27">
      <c r="A17" s="81">
        <v>0.44791666666666602</v>
      </c>
      <c r="B17" s="82">
        <v>0.45138888888888801</v>
      </c>
      <c r="C17" s="189"/>
      <c r="D17" s="229">
        <v>6</v>
      </c>
      <c r="E17" s="229"/>
      <c r="F17" s="229"/>
      <c r="G17" s="229"/>
      <c r="H17" s="229"/>
      <c r="I17" s="6">
        <f t="shared" si="0"/>
        <v>6</v>
      </c>
      <c r="J17" s="7">
        <f t="shared" si="2"/>
        <v>20</v>
      </c>
      <c r="K17" s="578"/>
      <c r="L17" s="610"/>
      <c r="M17" s="189"/>
      <c r="N17" s="229">
        <v>4</v>
      </c>
      <c r="O17" s="229"/>
      <c r="P17" s="229"/>
      <c r="Q17" s="229"/>
      <c r="R17" s="229"/>
      <c r="S17" s="6">
        <f t="shared" si="1"/>
        <v>4</v>
      </c>
      <c r="T17" s="7">
        <f t="shared" si="4"/>
        <v>17</v>
      </c>
      <c r="U17" s="578"/>
      <c r="V17" s="603"/>
    </row>
    <row r="18" spans="1:27">
      <c r="A18" s="81">
        <v>0.45138888888888901</v>
      </c>
      <c r="B18" s="83">
        <v>0.45486111111111099</v>
      </c>
      <c r="C18" s="189"/>
      <c r="D18" s="229">
        <v>3</v>
      </c>
      <c r="E18" s="229"/>
      <c r="F18" s="229">
        <v>1</v>
      </c>
      <c r="G18" s="229">
        <v>1</v>
      </c>
      <c r="H18" s="229"/>
      <c r="I18" s="6">
        <f t="shared" si="0"/>
        <v>5</v>
      </c>
      <c r="J18" s="7">
        <f t="shared" si="2"/>
        <v>17</v>
      </c>
      <c r="K18" s="578"/>
      <c r="L18" s="610"/>
      <c r="M18" s="189"/>
      <c r="N18" s="229">
        <v>4</v>
      </c>
      <c r="O18" s="229">
        <v>1</v>
      </c>
      <c r="P18" s="229">
        <v>1</v>
      </c>
      <c r="Q18" s="229">
        <v>1</v>
      </c>
      <c r="R18" s="229"/>
      <c r="S18" s="6">
        <f t="shared" si="1"/>
        <v>7</v>
      </c>
      <c r="T18" s="7">
        <f t="shared" si="4"/>
        <v>18</v>
      </c>
      <c r="U18" s="578"/>
      <c r="V18" s="603"/>
      <c r="W18" t="s">
        <v>98</v>
      </c>
      <c r="Z18" t="s">
        <v>98</v>
      </c>
    </row>
    <row r="19" spans="1:27" ht="15.75" thickBot="1">
      <c r="A19" s="86">
        <v>0.45486111111111099</v>
      </c>
      <c r="B19" s="87">
        <v>0.45833333333333298</v>
      </c>
      <c r="C19" s="179"/>
      <c r="D19" s="31">
        <v>5</v>
      </c>
      <c r="E19" s="31">
        <v>2</v>
      </c>
      <c r="F19" s="31">
        <v>1</v>
      </c>
      <c r="G19" s="31"/>
      <c r="H19" s="31"/>
      <c r="I19" s="261">
        <f t="shared" si="0"/>
        <v>8</v>
      </c>
      <c r="J19" s="32">
        <f t="shared" si="2"/>
        <v>19</v>
      </c>
      <c r="K19" s="578"/>
      <c r="L19" s="610"/>
      <c r="M19" s="179">
        <v>1</v>
      </c>
      <c r="N19" s="31">
        <v>4</v>
      </c>
      <c r="O19" s="31">
        <v>1</v>
      </c>
      <c r="P19" s="31">
        <v>2</v>
      </c>
      <c r="Q19" s="31"/>
      <c r="R19" s="31"/>
      <c r="S19" s="261">
        <f t="shared" si="1"/>
        <v>8</v>
      </c>
      <c r="T19" s="32">
        <f t="shared" si="4"/>
        <v>19</v>
      </c>
      <c r="U19" s="578"/>
      <c r="V19" s="603"/>
    </row>
    <row r="20" spans="1:27">
      <c r="A20" s="79">
        <v>0.45833333333333298</v>
      </c>
      <c r="B20" s="93">
        <v>0.46180555555555503</v>
      </c>
      <c r="C20" s="157"/>
      <c r="D20" s="152">
        <v>6</v>
      </c>
      <c r="E20" s="152">
        <v>1</v>
      </c>
      <c r="F20" s="152"/>
      <c r="G20" s="152"/>
      <c r="H20" s="152"/>
      <c r="I20" s="5">
        <f t="shared" si="0"/>
        <v>7</v>
      </c>
      <c r="J20" s="5">
        <f t="shared" si="2"/>
        <v>20</v>
      </c>
      <c r="K20" s="577">
        <f>+SUM(I20:I31)</f>
        <v>88</v>
      </c>
      <c r="L20" s="609">
        <f>+K20/(4*MAX(J22:J31))</f>
        <v>0.88</v>
      </c>
      <c r="M20" s="157"/>
      <c r="N20" s="152">
        <v>6</v>
      </c>
      <c r="O20" s="152"/>
      <c r="P20" s="152"/>
      <c r="Q20" s="152"/>
      <c r="R20" s="152"/>
      <c r="S20" s="5">
        <f t="shared" si="1"/>
        <v>6</v>
      </c>
      <c r="T20" s="5">
        <f t="shared" si="4"/>
        <v>21</v>
      </c>
      <c r="U20" s="577">
        <f>+SUM(S20:S31)</f>
        <v>83</v>
      </c>
      <c r="V20" s="602">
        <f>+U20/(4*MAX(T22:T31))</f>
        <v>0.83</v>
      </c>
      <c r="X20">
        <f>SUM(H20:H31)</f>
        <v>1</v>
      </c>
      <c r="AA20">
        <f>SUM(R20:R31)</f>
        <v>0</v>
      </c>
    </row>
    <row r="21" spans="1:27">
      <c r="A21" s="81">
        <v>0.46180555555555503</v>
      </c>
      <c r="B21" s="94">
        <v>0.46527777777777701</v>
      </c>
      <c r="C21" s="189"/>
      <c r="D21" s="229">
        <v>5</v>
      </c>
      <c r="E21" s="229">
        <v>1</v>
      </c>
      <c r="F21" s="229"/>
      <c r="G21" s="229"/>
      <c r="H21" s="229"/>
      <c r="I21" s="6">
        <f t="shared" si="0"/>
        <v>6</v>
      </c>
      <c r="J21" s="7">
        <f t="shared" si="2"/>
        <v>21</v>
      </c>
      <c r="K21" s="578"/>
      <c r="L21" s="610"/>
      <c r="M21" s="189"/>
      <c r="N21" s="229">
        <v>6</v>
      </c>
      <c r="O21" s="229">
        <v>2</v>
      </c>
      <c r="P21" s="229"/>
      <c r="Q21" s="229"/>
      <c r="R21" s="229"/>
      <c r="S21" s="6">
        <f t="shared" si="1"/>
        <v>8</v>
      </c>
      <c r="T21" s="7">
        <f t="shared" si="4"/>
        <v>22</v>
      </c>
      <c r="U21" s="578"/>
      <c r="V21" s="603"/>
    </row>
    <row r="22" spans="1:27">
      <c r="A22" s="81">
        <v>0.46527777777777701</v>
      </c>
      <c r="B22" s="95">
        <v>0.468749999999999</v>
      </c>
      <c r="C22" s="189"/>
      <c r="D22" s="229">
        <v>8</v>
      </c>
      <c r="E22" s="229">
        <v>1</v>
      </c>
      <c r="F22" s="229"/>
      <c r="G22" s="229">
        <v>1</v>
      </c>
      <c r="H22" s="229">
        <v>1</v>
      </c>
      <c r="I22" s="6">
        <f t="shared" si="0"/>
        <v>11</v>
      </c>
      <c r="J22" s="7">
        <f t="shared" si="2"/>
        <v>24</v>
      </c>
      <c r="K22" s="578"/>
      <c r="L22" s="610"/>
      <c r="M22" s="189">
        <v>1</v>
      </c>
      <c r="N22" s="229">
        <v>5</v>
      </c>
      <c r="O22" s="229"/>
      <c r="P22" s="229">
        <v>1</v>
      </c>
      <c r="Q22" s="229"/>
      <c r="R22" s="229"/>
      <c r="S22" s="6">
        <f t="shared" si="1"/>
        <v>7</v>
      </c>
      <c r="T22" s="7">
        <f t="shared" si="4"/>
        <v>21</v>
      </c>
      <c r="U22" s="578"/>
      <c r="V22" s="603"/>
    </row>
    <row r="23" spans="1:27">
      <c r="A23" s="81">
        <v>0.46875</v>
      </c>
      <c r="B23" s="94">
        <v>0.47222222222222199</v>
      </c>
      <c r="C23" s="189"/>
      <c r="D23" s="229">
        <v>5</v>
      </c>
      <c r="E23" s="229"/>
      <c r="F23" s="229">
        <v>2</v>
      </c>
      <c r="G23" s="229"/>
      <c r="H23" s="229"/>
      <c r="I23" s="6">
        <f t="shared" si="0"/>
        <v>7</v>
      </c>
      <c r="J23" s="7">
        <f t="shared" si="2"/>
        <v>24</v>
      </c>
      <c r="K23" s="578"/>
      <c r="L23" s="610"/>
      <c r="M23" s="189"/>
      <c r="N23" s="229">
        <v>6</v>
      </c>
      <c r="O23" s="229"/>
      <c r="P23" s="229">
        <v>1</v>
      </c>
      <c r="Q23" s="229"/>
      <c r="R23" s="229"/>
      <c r="S23" s="6">
        <f t="shared" si="1"/>
        <v>7</v>
      </c>
      <c r="T23" s="7">
        <f t="shared" si="4"/>
        <v>22</v>
      </c>
      <c r="U23" s="578"/>
      <c r="V23" s="603"/>
      <c r="W23" t="s">
        <v>100</v>
      </c>
    </row>
    <row r="24" spans="1:27">
      <c r="A24" s="81">
        <v>0.47222222222222199</v>
      </c>
      <c r="B24" s="95">
        <v>0.47569444444444398</v>
      </c>
      <c r="C24" s="189"/>
      <c r="D24" s="229">
        <v>6</v>
      </c>
      <c r="E24" s="229"/>
      <c r="F24" s="229">
        <v>1</v>
      </c>
      <c r="G24" s="229"/>
      <c r="H24" s="229"/>
      <c r="I24" s="6">
        <f t="shared" si="0"/>
        <v>7</v>
      </c>
      <c r="J24" s="7">
        <f t="shared" si="2"/>
        <v>25</v>
      </c>
      <c r="K24" s="578"/>
      <c r="L24" s="610"/>
      <c r="M24" s="189"/>
      <c r="N24" s="229">
        <v>5</v>
      </c>
      <c r="O24" s="229">
        <v>1</v>
      </c>
      <c r="P24" s="229">
        <v>1</v>
      </c>
      <c r="Q24" s="229"/>
      <c r="R24" s="229"/>
      <c r="S24" s="6">
        <f t="shared" si="1"/>
        <v>7</v>
      </c>
      <c r="T24" s="7">
        <f t="shared" si="4"/>
        <v>21</v>
      </c>
      <c r="U24" s="578"/>
      <c r="V24" s="603"/>
    </row>
    <row r="25" spans="1:27">
      <c r="A25" s="81">
        <v>0.47569444444444398</v>
      </c>
      <c r="B25" s="94">
        <v>0.47916666666666602</v>
      </c>
      <c r="C25" s="189"/>
      <c r="D25" s="229">
        <v>4</v>
      </c>
      <c r="E25" s="229">
        <v>2</v>
      </c>
      <c r="F25" s="229"/>
      <c r="G25" s="229"/>
      <c r="H25" s="229"/>
      <c r="I25" s="6">
        <f t="shared" si="0"/>
        <v>6</v>
      </c>
      <c r="J25" s="7">
        <f t="shared" si="2"/>
        <v>20</v>
      </c>
      <c r="K25" s="578"/>
      <c r="L25" s="610"/>
      <c r="M25" s="189"/>
      <c r="N25" s="229">
        <v>4</v>
      </c>
      <c r="O25" s="229">
        <v>1</v>
      </c>
      <c r="P25" s="229"/>
      <c r="Q25" s="229"/>
      <c r="R25" s="229"/>
      <c r="S25" s="6">
        <f t="shared" si="1"/>
        <v>5</v>
      </c>
      <c r="T25" s="7">
        <f t="shared" si="4"/>
        <v>19</v>
      </c>
      <c r="U25" s="578"/>
      <c r="V25" s="603"/>
    </row>
    <row r="26" spans="1:27">
      <c r="A26" s="81">
        <v>0.47916666666666602</v>
      </c>
      <c r="B26" s="95">
        <v>0.48263888888888801</v>
      </c>
      <c r="C26" s="189">
        <v>1</v>
      </c>
      <c r="D26" s="229">
        <v>6</v>
      </c>
      <c r="E26" s="229">
        <v>1</v>
      </c>
      <c r="F26" s="229"/>
      <c r="G26" s="229"/>
      <c r="H26" s="229"/>
      <c r="I26" s="6">
        <f t="shared" si="0"/>
        <v>8</v>
      </c>
      <c r="J26" s="7">
        <f t="shared" si="2"/>
        <v>21</v>
      </c>
      <c r="K26" s="578"/>
      <c r="L26" s="610"/>
      <c r="M26" s="189"/>
      <c r="N26" s="229">
        <v>4</v>
      </c>
      <c r="O26" s="229"/>
      <c r="P26" s="229"/>
      <c r="Q26" s="229"/>
      <c r="R26" s="229"/>
      <c r="S26" s="6">
        <f t="shared" si="1"/>
        <v>4</v>
      </c>
      <c r="T26" s="7">
        <f t="shared" si="4"/>
        <v>16</v>
      </c>
      <c r="U26" s="578"/>
      <c r="V26" s="603"/>
    </row>
    <row r="27" spans="1:27">
      <c r="A27" s="81">
        <v>0.48263888888888901</v>
      </c>
      <c r="B27" s="94">
        <v>0.48611111111111099</v>
      </c>
      <c r="C27" s="189"/>
      <c r="D27" s="229">
        <v>5</v>
      </c>
      <c r="E27" s="229"/>
      <c r="F27" s="229">
        <v>1</v>
      </c>
      <c r="G27" s="229"/>
      <c r="H27" s="229"/>
      <c r="I27" s="6">
        <f t="shared" si="0"/>
        <v>6</v>
      </c>
      <c r="J27" s="7">
        <f t="shared" si="2"/>
        <v>20</v>
      </c>
      <c r="K27" s="578"/>
      <c r="L27" s="610"/>
      <c r="M27" s="189"/>
      <c r="N27" s="229">
        <v>5</v>
      </c>
      <c r="O27" s="229">
        <v>2</v>
      </c>
      <c r="P27" s="229">
        <v>1</v>
      </c>
      <c r="Q27" s="229"/>
      <c r="R27" s="229"/>
      <c r="S27" s="6">
        <f t="shared" si="1"/>
        <v>8</v>
      </c>
      <c r="T27" s="7">
        <f t="shared" si="4"/>
        <v>17</v>
      </c>
      <c r="U27" s="578"/>
      <c r="V27" s="603"/>
    </row>
    <row r="28" spans="1:27">
      <c r="A28" s="81">
        <v>0.48611111111111099</v>
      </c>
      <c r="B28" s="95">
        <v>0.48958333333333298</v>
      </c>
      <c r="C28" s="189"/>
      <c r="D28" s="229">
        <v>4</v>
      </c>
      <c r="E28" s="229">
        <v>2</v>
      </c>
      <c r="F28" s="229"/>
      <c r="G28" s="229"/>
      <c r="H28" s="229"/>
      <c r="I28" s="6">
        <f t="shared" si="0"/>
        <v>6</v>
      </c>
      <c r="J28" s="7">
        <f t="shared" si="2"/>
        <v>20</v>
      </c>
      <c r="K28" s="578"/>
      <c r="L28" s="610"/>
      <c r="M28" s="189"/>
      <c r="N28" s="229">
        <v>6</v>
      </c>
      <c r="O28" s="229"/>
      <c r="P28" s="229">
        <v>1</v>
      </c>
      <c r="Q28" s="229">
        <v>1</v>
      </c>
      <c r="R28" s="229"/>
      <c r="S28" s="6">
        <f t="shared" si="1"/>
        <v>8</v>
      </c>
      <c r="T28" s="7">
        <f t="shared" si="4"/>
        <v>20</v>
      </c>
      <c r="U28" s="578"/>
      <c r="V28" s="603"/>
      <c r="Z28" t="s">
        <v>98</v>
      </c>
    </row>
    <row r="29" spans="1:27">
      <c r="A29" s="81">
        <v>0.48958333333333298</v>
      </c>
      <c r="B29" s="94">
        <v>0.49305555555555503</v>
      </c>
      <c r="C29" s="189"/>
      <c r="D29" s="229">
        <v>4</v>
      </c>
      <c r="E29" s="229"/>
      <c r="F29" s="229">
        <v>1</v>
      </c>
      <c r="G29" s="229"/>
      <c r="H29" s="229"/>
      <c r="I29" s="6">
        <f t="shared" si="0"/>
        <v>5</v>
      </c>
      <c r="J29" s="7">
        <f t="shared" si="2"/>
        <v>17</v>
      </c>
      <c r="K29" s="578"/>
      <c r="L29" s="610"/>
      <c r="M29" s="189"/>
      <c r="N29" s="229">
        <v>7</v>
      </c>
      <c r="O29" s="229"/>
      <c r="P29" s="229">
        <v>1</v>
      </c>
      <c r="Q29" s="229">
        <v>1</v>
      </c>
      <c r="R29" s="229"/>
      <c r="S29" s="6">
        <f t="shared" si="1"/>
        <v>9</v>
      </c>
      <c r="T29" s="7">
        <f t="shared" si="4"/>
        <v>25</v>
      </c>
      <c r="U29" s="578"/>
      <c r="V29" s="603"/>
      <c r="Z29" t="s">
        <v>99</v>
      </c>
    </row>
    <row r="30" spans="1:27">
      <c r="A30" s="81">
        <v>0.49305555555555503</v>
      </c>
      <c r="B30" s="95">
        <v>0.49652777777777701</v>
      </c>
      <c r="C30" s="189">
        <v>1</v>
      </c>
      <c r="D30" s="229">
        <v>7</v>
      </c>
      <c r="E30" s="229">
        <v>1</v>
      </c>
      <c r="F30" s="229"/>
      <c r="G30" s="229"/>
      <c r="H30" s="229"/>
      <c r="I30" s="6">
        <f t="shared" si="0"/>
        <v>9</v>
      </c>
      <c r="J30" s="7">
        <f t="shared" si="2"/>
        <v>20</v>
      </c>
      <c r="K30" s="578"/>
      <c r="L30" s="610"/>
      <c r="M30" s="189"/>
      <c r="N30" s="229">
        <v>5</v>
      </c>
      <c r="O30" s="229">
        <v>2</v>
      </c>
      <c r="P30" s="229"/>
      <c r="Q30" s="229"/>
      <c r="R30" s="229"/>
      <c r="S30" s="6">
        <f t="shared" si="1"/>
        <v>7</v>
      </c>
      <c r="T30" s="7">
        <f t="shared" si="4"/>
        <v>24</v>
      </c>
      <c r="U30" s="578"/>
      <c r="V30" s="603"/>
    </row>
    <row r="31" spans="1:27" ht="15.75" thickBot="1">
      <c r="A31" s="84">
        <v>0.49652777777777701</v>
      </c>
      <c r="B31" s="96">
        <v>0.499999999999999</v>
      </c>
      <c r="C31" s="190"/>
      <c r="D31" s="155">
        <v>8</v>
      </c>
      <c r="E31" s="155">
        <v>1</v>
      </c>
      <c r="F31" s="155">
        <v>1</v>
      </c>
      <c r="G31" s="155"/>
      <c r="H31" s="155"/>
      <c r="I31" s="297">
        <f t="shared" si="0"/>
        <v>10</v>
      </c>
      <c r="J31" s="22">
        <f t="shared" si="2"/>
        <v>24</v>
      </c>
      <c r="K31" s="579"/>
      <c r="L31" s="611"/>
      <c r="M31" s="190">
        <v>1</v>
      </c>
      <c r="N31" s="155">
        <v>5</v>
      </c>
      <c r="O31" s="155"/>
      <c r="P31" s="155">
        <v>1</v>
      </c>
      <c r="Q31" s="155"/>
      <c r="R31" s="155"/>
      <c r="S31" s="297">
        <f t="shared" si="1"/>
        <v>7</v>
      </c>
      <c r="T31" s="22">
        <f t="shared" si="4"/>
        <v>23</v>
      </c>
      <c r="U31" s="579"/>
      <c r="V31" s="604"/>
    </row>
    <row r="32" spans="1:27">
      <c r="A32" s="81">
        <v>0.5</v>
      </c>
      <c r="B32" s="83">
        <v>0.50347222222222199</v>
      </c>
      <c r="C32" s="174">
        <v>1</v>
      </c>
      <c r="D32" s="25">
        <v>7</v>
      </c>
      <c r="E32" s="25"/>
      <c r="F32" s="25">
        <v>1</v>
      </c>
      <c r="G32" s="25"/>
      <c r="H32" s="25"/>
      <c r="I32" s="6">
        <f t="shared" si="0"/>
        <v>9</v>
      </c>
      <c r="J32" s="6">
        <f t="shared" si="2"/>
        <v>28</v>
      </c>
      <c r="K32" s="578">
        <f>+SUM(I32:I43)</f>
        <v>114</v>
      </c>
      <c r="L32" s="610">
        <f>+K32/(4*MAX(J34:J43))</f>
        <v>0.890625</v>
      </c>
      <c r="M32" s="174"/>
      <c r="N32" s="26">
        <v>6</v>
      </c>
      <c r="O32" s="25"/>
      <c r="P32" s="25">
        <v>1</v>
      </c>
      <c r="Q32" s="25"/>
      <c r="R32" s="25">
        <v>1</v>
      </c>
      <c r="S32" s="6">
        <f t="shared" si="1"/>
        <v>8</v>
      </c>
      <c r="T32" s="6">
        <f t="shared" si="4"/>
        <v>22</v>
      </c>
      <c r="U32" s="578">
        <f>+SUM(S32:S43)</f>
        <v>96</v>
      </c>
      <c r="V32" s="603">
        <f>+U32/(4*MAX(T34:T43))</f>
        <v>0.88888888888888884</v>
      </c>
      <c r="X32">
        <f>SUM(H32:H43)</f>
        <v>0</v>
      </c>
      <c r="Z32" t="s">
        <v>99</v>
      </c>
      <c r="AA32">
        <f>SUM(R32:R43)</f>
        <v>2</v>
      </c>
    </row>
    <row r="33" spans="1:27">
      <c r="A33" s="81">
        <v>0.50347222222222199</v>
      </c>
      <c r="B33" s="82">
        <v>0.50694444444444398</v>
      </c>
      <c r="C33" s="189"/>
      <c r="D33" s="229">
        <v>9</v>
      </c>
      <c r="E33" s="229">
        <v>1</v>
      </c>
      <c r="F33" s="229"/>
      <c r="G33" s="229"/>
      <c r="H33" s="229"/>
      <c r="I33" s="6">
        <f t="shared" si="0"/>
        <v>10</v>
      </c>
      <c r="J33" s="7">
        <f t="shared" si="2"/>
        <v>29</v>
      </c>
      <c r="K33" s="578"/>
      <c r="L33" s="610"/>
      <c r="M33" s="189"/>
      <c r="N33" s="229">
        <v>5</v>
      </c>
      <c r="O33" s="229">
        <v>2</v>
      </c>
      <c r="P33" s="229"/>
      <c r="Q33" s="229"/>
      <c r="R33" s="229"/>
      <c r="S33" s="6">
        <f t="shared" si="1"/>
        <v>7</v>
      </c>
      <c r="T33" s="7">
        <f t="shared" si="4"/>
        <v>22</v>
      </c>
      <c r="U33" s="578"/>
      <c r="V33" s="603"/>
    </row>
    <row r="34" spans="1:27">
      <c r="A34" s="81">
        <v>0.50694444444444398</v>
      </c>
      <c r="B34" s="83">
        <v>0.51041666666666596</v>
      </c>
      <c r="C34" s="189"/>
      <c r="D34" s="229">
        <v>10</v>
      </c>
      <c r="E34" s="229">
        <v>1</v>
      </c>
      <c r="F34" s="229"/>
      <c r="G34" s="229">
        <v>1</v>
      </c>
      <c r="H34" s="229"/>
      <c r="I34" s="6">
        <f t="shared" si="0"/>
        <v>12</v>
      </c>
      <c r="J34" s="7">
        <f t="shared" si="2"/>
        <v>31</v>
      </c>
      <c r="K34" s="578"/>
      <c r="L34" s="610"/>
      <c r="M34" s="189"/>
      <c r="N34" s="229">
        <v>6</v>
      </c>
      <c r="O34" s="229"/>
      <c r="P34" s="229">
        <v>1</v>
      </c>
      <c r="Q34" s="229"/>
      <c r="R34" s="229"/>
      <c r="S34" s="6">
        <f t="shared" si="1"/>
        <v>7</v>
      </c>
      <c r="T34" s="7">
        <f t="shared" si="4"/>
        <v>22</v>
      </c>
      <c r="U34" s="578"/>
      <c r="V34" s="603"/>
      <c r="W34" t="s">
        <v>98</v>
      </c>
    </row>
    <row r="35" spans="1:27">
      <c r="A35" s="81">
        <v>0.51041666666666596</v>
      </c>
      <c r="B35" s="82">
        <v>0.51388888888888795</v>
      </c>
      <c r="C35" s="189"/>
      <c r="D35" s="229">
        <v>8</v>
      </c>
      <c r="E35" s="229"/>
      <c r="F35" s="229">
        <v>2</v>
      </c>
      <c r="G35" s="229"/>
      <c r="H35" s="229"/>
      <c r="I35" s="6">
        <f t="shared" si="0"/>
        <v>10</v>
      </c>
      <c r="J35" s="7">
        <f t="shared" si="2"/>
        <v>32</v>
      </c>
      <c r="K35" s="578"/>
      <c r="L35" s="610"/>
      <c r="M35" s="189">
        <v>1</v>
      </c>
      <c r="N35" s="229">
        <v>7</v>
      </c>
      <c r="O35" s="229">
        <v>1</v>
      </c>
      <c r="P35" s="229"/>
      <c r="Q35" s="229"/>
      <c r="R35" s="229"/>
      <c r="S35" s="6">
        <f t="shared" si="1"/>
        <v>9</v>
      </c>
      <c r="T35" s="7">
        <f t="shared" si="4"/>
        <v>23</v>
      </c>
      <c r="U35" s="578"/>
      <c r="V35" s="603"/>
    </row>
    <row r="36" spans="1:27">
      <c r="A36" s="81">
        <v>0.51388888888888795</v>
      </c>
      <c r="B36" s="83">
        <v>0.51736111111111005</v>
      </c>
      <c r="C36" s="189"/>
      <c r="D36" s="229">
        <v>7</v>
      </c>
      <c r="E36" s="229"/>
      <c r="F36" s="229">
        <v>1</v>
      </c>
      <c r="G36" s="229"/>
      <c r="H36" s="229"/>
      <c r="I36" s="6">
        <f t="shared" si="0"/>
        <v>8</v>
      </c>
      <c r="J36" s="7">
        <f t="shared" si="2"/>
        <v>30</v>
      </c>
      <c r="K36" s="578"/>
      <c r="L36" s="610"/>
      <c r="M36" s="189"/>
      <c r="N36" s="229">
        <v>5</v>
      </c>
      <c r="O36" s="229">
        <v>1</v>
      </c>
      <c r="P36" s="229"/>
      <c r="Q36" s="229"/>
      <c r="R36" s="229">
        <v>1</v>
      </c>
      <c r="S36" s="6">
        <f t="shared" si="1"/>
        <v>7</v>
      </c>
      <c r="T36" s="7">
        <f t="shared" si="4"/>
        <v>23</v>
      </c>
      <c r="U36" s="578"/>
      <c r="V36" s="603"/>
      <c r="Z36" t="s">
        <v>98</v>
      </c>
    </row>
    <row r="37" spans="1:27">
      <c r="A37" s="81">
        <v>0.51736111111111105</v>
      </c>
      <c r="B37" s="82">
        <v>0.52083333333333304</v>
      </c>
      <c r="C37" s="189"/>
      <c r="D37" s="229">
        <v>7</v>
      </c>
      <c r="E37" s="229">
        <v>2</v>
      </c>
      <c r="F37" s="229"/>
      <c r="G37" s="229"/>
      <c r="H37" s="229"/>
      <c r="I37" s="6">
        <f t="shared" si="0"/>
        <v>9</v>
      </c>
      <c r="J37" s="7">
        <f t="shared" si="2"/>
        <v>27</v>
      </c>
      <c r="K37" s="578"/>
      <c r="L37" s="610"/>
      <c r="M37" s="189"/>
      <c r="N37" s="229">
        <v>4</v>
      </c>
      <c r="O37" s="229"/>
      <c r="P37" s="229"/>
      <c r="Q37" s="229"/>
      <c r="R37" s="229"/>
      <c r="S37" s="6">
        <f t="shared" si="1"/>
        <v>4</v>
      </c>
      <c r="T37" s="7">
        <f t="shared" si="4"/>
        <v>20</v>
      </c>
      <c r="U37" s="578"/>
      <c r="V37" s="603"/>
    </row>
    <row r="38" spans="1:27">
      <c r="A38" s="81">
        <v>0.52083333333333304</v>
      </c>
      <c r="B38" s="83">
        <v>0.52430555555555503</v>
      </c>
      <c r="C38" s="189"/>
      <c r="D38" s="229">
        <v>8</v>
      </c>
      <c r="E38" s="229"/>
      <c r="F38" s="229"/>
      <c r="G38" s="229"/>
      <c r="H38" s="229"/>
      <c r="I38" s="6">
        <f t="shared" si="0"/>
        <v>8</v>
      </c>
      <c r="J38" s="7">
        <f t="shared" si="2"/>
        <v>25</v>
      </c>
      <c r="K38" s="578"/>
      <c r="L38" s="610"/>
      <c r="M38" s="189"/>
      <c r="N38" s="229">
        <v>9</v>
      </c>
      <c r="O38" s="229">
        <v>1</v>
      </c>
      <c r="P38" s="229"/>
      <c r="Q38" s="229"/>
      <c r="R38" s="229"/>
      <c r="S38" s="6">
        <f t="shared" si="1"/>
        <v>10</v>
      </c>
      <c r="T38" s="7">
        <f t="shared" si="4"/>
        <v>21</v>
      </c>
      <c r="U38" s="578"/>
      <c r="V38" s="603"/>
    </row>
    <row r="39" spans="1:27">
      <c r="A39" s="81">
        <v>0.52430555555555503</v>
      </c>
      <c r="B39" s="82">
        <v>0.52777777777777701</v>
      </c>
      <c r="C39" s="189"/>
      <c r="D39" s="229">
        <v>9</v>
      </c>
      <c r="E39" s="229">
        <v>1</v>
      </c>
      <c r="F39" s="229">
        <v>1</v>
      </c>
      <c r="G39" s="229"/>
      <c r="H39" s="229"/>
      <c r="I39" s="6">
        <f t="shared" si="0"/>
        <v>11</v>
      </c>
      <c r="J39" s="7">
        <f t="shared" ref="J39:J55" si="5">I37+I38+I39</f>
        <v>28</v>
      </c>
      <c r="K39" s="578"/>
      <c r="L39" s="610"/>
      <c r="M39" s="189"/>
      <c r="N39" s="229">
        <v>6</v>
      </c>
      <c r="O39" s="229">
        <v>1</v>
      </c>
      <c r="P39" s="229"/>
      <c r="Q39" s="229"/>
      <c r="R39" s="229"/>
      <c r="S39" s="6">
        <f t="shared" si="1"/>
        <v>7</v>
      </c>
      <c r="T39" s="7">
        <f t="shared" ref="T39:T55" si="6">S37+S38+S39</f>
        <v>21</v>
      </c>
      <c r="U39" s="578"/>
      <c r="V39" s="603"/>
    </row>
    <row r="40" spans="1:27">
      <c r="A40" s="81">
        <v>0.52777777777777701</v>
      </c>
      <c r="B40" s="83">
        <v>0.531249999999999</v>
      </c>
      <c r="C40" s="189"/>
      <c r="D40" s="229">
        <v>6</v>
      </c>
      <c r="E40" s="229">
        <v>1</v>
      </c>
      <c r="F40" s="229">
        <v>1</v>
      </c>
      <c r="G40" s="229"/>
      <c r="H40" s="229"/>
      <c r="I40" s="6">
        <f t="shared" si="0"/>
        <v>8</v>
      </c>
      <c r="J40" s="7">
        <f t="shared" si="5"/>
        <v>27</v>
      </c>
      <c r="K40" s="578"/>
      <c r="L40" s="610"/>
      <c r="M40" s="189">
        <v>1</v>
      </c>
      <c r="N40" s="229">
        <v>8</v>
      </c>
      <c r="O40" s="229"/>
      <c r="P40" s="229"/>
      <c r="Q40" s="229">
        <v>1</v>
      </c>
      <c r="R40" s="229"/>
      <c r="S40" s="6">
        <f t="shared" si="1"/>
        <v>10</v>
      </c>
      <c r="T40" s="7">
        <f t="shared" si="6"/>
        <v>27</v>
      </c>
      <c r="U40" s="578"/>
      <c r="V40" s="603"/>
      <c r="Z40" t="s">
        <v>98</v>
      </c>
    </row>
    <row r="41" spans="1:27">
      <c r="A41" s="81">
        <v>0.531249999999999</v>
      </c>
      <c r="B41" s="82">
        <v>0.53472222222222099</v>
      </c>
      <c r="C41" s="189"/>
      <c r="D41" s="229">
        <v>9</v>
      </c>
      <c r="E41" s="229"/>
      <c r="F41" s="229"/>
      <c r="G41" s="229"/>
      <c r="H41" s="229"/>
      <c r="I41" s="6">
        <f t="shared" si="0"/>
        <v>9</v>
      </c>
      <c r="J41" s="7">
        <f t="shared" si="5"/>
        <v>28</v>
      </c>
      <c r="K41" s="578"/>
      <c r="L41" s="610"/>
      <c r="M41" s="189"/>
      <c r="N41" s="229">
        <v>7</v>
      </c>
      <c r="O41" s="229"/>
      <c r="P41" s="229"/>
      <c r="Q41" s="229"/>
      <c r="R41" s="229"/>
      <c r="S41" s="6">
        <f t="shared" si="1"/>
        <v>7</v>
      </c>
      <c r="T41" s="7">
        <f t="shared" si="6"/>
        <v>24</v>
      </c>
      <c r="U41" s="578"/>
      <c r="V41" s="603"/>
    </row>
    <row r="42" spans="1:27">
      <c r="A42" s="81">
        <v>0.53472222222222199</v>
      </c>
      <c r="B42" s="83">
        <v>0.53819444444444398</v>
      </c>
      <c r="C42" s="189"/>
      <c r="D42" s="229">
        <v>10</v>
      </c>
      <c r="E42" s="229">
        <v>1</v>
      </c>
      <c r="F42" s="229"/>
      <c r="G42" s="229"/>
      <c r="H42" s="229"/>
      <c r="I42" s="6">
        <f t="shared" si="0"/>
        <v>11</v>
      </c>
      <c r="J42" s="7">
        <f t="shared" si="5"/>
        <v>28</v>
      </c>
      <c r="K42" s="578"/>
      <c r="L42" s="610"/>
      <c r="M42" s="189"/>
      <c r="N42" s="229">
        <v>8</v>
      </c>
      <c r="O42" s="229">
        <v>1</v>
      </c>
      <c r="P42" s="229">
        <v>1</v>
      </c>
      <c r="Q42" s="229"/>
      <c r="R42" s="229"/>
      <c r="S42" s="6">
        <f t="shared" si="1"/>
        <v>10</v>
      </c>
      <c r="T42" s="7">
        <f t="shared" si="6"/>
        <v>27</v>
      </c>
      <c r="U42" s="578"/>
      <c r="V42" s="603"/>
    </row>
    <row r="43" spans="1:27" ht="15.75" thickBot="1">
      <c r="A43" s="84">
        <v>0.53819444444444398</v>
      </c>
      <c r="B43" s="85">
        <v>0.54166666666666596</v>
      </c>
      <c r="C43" s="179"/>
      <c r="D43" s="31">
        <v>6</v>
      </c>
      <c r="E43" s="31">
        <v>1</v>
      </c>
      <c r="F43" s="31">
        <v>2</v>
      </c>
      <c r="G43" s="31"/>
      <c r="H43" s="31"/>
      <c r="I43" s="261">
        <f t="shared" si="0"/>
        <v>9</v>
      </c>
      <c r="J43" s="32">
        <f t="shared" si="5"/>
        <v>29</v>
      </c>
      <c r="K43" s="578"/>
      <c r="L43" s="610"/>
      <c r="M43" s="179"/>
      <c r="N43" s="31">
        <v>8</v>
      </c>
      <c r="O43" s="31">
        <v>1</v>
      </c>
      <c r="P43" s="31">
        <v>1</v>
      </c>
      <c r="Q43" s="31"/>
      <c r="R43" s="31"/>
      <c r="S43" s="261">
        <f t="shared" si="1"/>
        <v>10</v>
      </c>
      <c r="T43" s="32">
        <f t="shared" si="6"/>
        <v>27</v>
      </c>
      <c r="U43" s="578"/>
      <c r="V43" s="603"/>
    </row>
    <row r="44" spans="1:27">
      <c r="A44" s="81">
        <v>0.54166666666666596</v>
      </c>
      <c r="B44" s="83">
        <v>0.54513888888888795</v>
      </c>
      <c r="C44" s="157">
        <v>1</v>
      </c>
      <c r="D44" s="152">
        <v>7</v>
      </c>
      <c r="E44" s="152"/>
      <c r="F44" s="152"/>
      <c r="G44" s="152"/>
      <c r="H44" s="152"/>
      <c r="I44" s="5">
        <f t="shared" si="0"/>
        <v>8</v>
      </c>
      <c r="J44" s="5">
        <f t="shared" si="5"/>
        <v>28</v>
      </c>
      <c r="K44" s="577">
        <f>+SUM(I44:I55)</f>
        <v>130</v>
      </c>
      <c r="L44" s="609">
        <f>+K44/(4*MAX(J46:J55))</f>
        <v>0.83333333333333337</v>
      </c>
      <c r="M44" s="157"/>
      <c r="N44" s="152">
        <v>8</v>
      </c>
      <c r="O44" s="152">
        <v>1</v>
      </c>
      <c r="P44" s="152"/>
      <c r="Q44" s="152"/>
      <c r="R44" s="152"/>
      <c r="S44" s="5">
        <f t="shared" si="1"/>
        <v>9</v>
      </c>
      <c r="T44" s="5">
        <f t="shared" si="6"/>
        <v>29</v>
      </c>
      <c r="U44" s="577">
        <f>+SUM(S44:S55)</f>
        <v>105</v>
      </c>
      <c r="V44" s="602">
        <f>+U44/(4*MAX(T46:T55))</f>
        <v>0.79545454545454541</v>
      </c>
      <c r="X44">
        <f>SUM(H44:H55)</f>
        <v>0</v>
      </c>
      <c r="AA44">
        <f>SUM(R44:R55)</f>
        <v>0</v>
      </c>
    </row>
    <row r="45" spans="1:27">
      <c r="A45" s="81">
        <v>0.54513888888888795</v>
      </c>
      <c r="B45" s="82">
        <v>0.54861111111111005</v>
      </c>
      <c r="C45" s="189"/>
      <c r="D45" s="229">
        <v>10</v>
      </c>
      <c r="E45" s="229"/>
      <c r="F45" s="229"/>
      <c r="G45" s="229">
        <v>1</v>
      </c>
      <c r="H45" s="229"/>
      <c r="I45" s="6">
        <f t="shared" si="0"/>
        <v>11</v>
      </c>
      <c r="J45" s="7">
        <f t="shared" si="5"/>
        <v>28</v>
      </c>
      <c r="K45" s="578"/>
      <c r="L45" s="610"/>
      <c r="M45" s="189"/>
      <c r="N45" s="229">
        <v>9</v>
      </c>
      <c r="O45" s="229"/>
      <c r="P45" s="229"/>
      <c r="Q45" s="229"/>
      <c r="R45" s="229"/>
      <c r="S45" s="6">
        <f t="shared" si="1"/>
        <v>9</v>
      </c>
      <c r="T45" s="7">
        <f t="shared" si="6"/>
        <v>28</v>
      </c>
      <c r="U45" s="578"/>
      <c r="V45" s="603"/>
      <c r="W45" t="s">
        <v>98</v>
      </c>
    </row>
    <row r="46" spans="1:27">
      <c r="A46" s="81">
        <v>0.54861111111111105</v>
      </c>
      <c r="B46" s="83">
        <v>0.55208333333333304</v>
      </c>
      <c r="C46" s="189">
        <v>1</v>
      </c>
      <c r="D46" s="229">
        <v>6</v>
      </c>
      <c r="E46" s="229">
        <v>2</v>
      </c>
      <c r="F46" s="229"/>
      <c r="G46" s="229"/>
      <c r="H46" s="229"/>
      <c r="I46" s="6">
        <f t="shared" si="0"/>
        <v>9</v>
      </c>
      <c r="J46" s="7">
        <f t="shared" si="5"/>
        <v>28</v>
      </c>
      <c r="K46" s="578"/>
      <c r="L46" s="610"/>
      <c r="M46" s="189"/>
      <c r="N46" s="229">
        <v>7</v>
      </c>
      <c r="O46" s="229">
        <v>1</v>
      </c>
      <c r="P46" s="229"/>
      <c r="Q46" s="229"/>
      <c r="R46" s="229"/>
      <c r="S46" s="6">
        <f t="shared" si="1"/>
        <v>8</v>
      </c>
      <c r="T46" s="7">
        <f t="shared" si="6"/>
        <v>26</v>
      </c>
      <c r="U46" s="578"/>
      <c r="V46" s="603"/>
    </row>
    <row r="47" spans="1:27">
      <c r="A47" s="81">
        <v>0.55208333333333304</v>
      </c>
      <c r="B47" s="82">
        <v>0.55555555555555503</v>
      </c>
      <c r="C47" s="189"/>
      <c r="D47" s="229">
        <v>8</v>
      </c>
      <c r="E47" s="229"/>
      <c r="F47" s="229"/>
      <c r="G47" s="229"/>
      <c r="H47" s="229"/>
      <c r="I47" s="6">
        <f t="shared" si="0"/>
        <v>8</v>
      </c>
      <c r="J47" s="7">
        <f t="shared" si="5"/>
        <v>28</v>
      </c>
      <c r="K47" s="578"/>
      <c r="L47" s="610"/>
      <c r="M47" s="189"/>
      <c r="N47" s="229">
        <v>6</v>
      </c>
      <c r="O47" s="229">
        <v>1</v>
      </c>
      <c r="P47" s="229"/>
      <c r="Q47" s="229"/>
      <c r="R47" s="229"/>
      <c r="S47" s="6">
        <f t="shared" si="1"/>
        <v>7</v>
      </c>
      <c r="T47" s="7">
        <f t="shared" si="6"/>
        <v>24</v>
      </c>
      <c r="U47" s="578"/>
      <c r="V47" s="603"/>
    </row>
    <row r="48" spans="1:27">
      <c r="A48" s="81">
        <v>0.55555555555555503</v>
      </c>
      <c r="B48" s="83">
        <v>0.55902777777777701</v>
      </c>
      <c r="C48" s="189"/>
      <c r="D48" s="229">
        <v>12</v>
      </c>
      <c r="E48" s="229"/>
      <c r="F48" s="229"/>
      <c r="G48" s="229"/>
      <c r="H48" s="229"/>
      <c r="I48" s="6">
        <f t="shared" si="0"/>
        <v>12</v>
      </c>
      <c r="J48" s="7">
        <f t="shared" si="5"/>
        <v>29</v>
      </c>
      <c r="K48" s="578"/>
      <c r="L48" s="610"/>
      <c r="M48" s="189"/>
      <c r="N48" s="229">
        <v>5</v>
      </c>
      <c r="O48" s="229">
        <v>1</v>
      </c>
      <c r="P48" s="229"/>
      <c r="Q48" s="229"/>
      <c r="R48" s="229"/>
      <c r="S48" s="6">
        <f t="shared" si="1"/>
        <v>6</v>
      </c>
      <c r="T48" s="7">
        <f t="shared" si="6"/>
        <v>21</v>
      </c>
      <c r="U48" s="578"/>
      <c r="V48" s="603"/>
    </row>
    <row r="49" spans="1:28">
      <c r="A49" s="81">
        <v>0.55902777777777701</v>
      </c>
      <c r="B49" s="82">
        <v>0.562499999999999</v>
      </c>
      <c r="C49" s="189">
        <v>2</v>
      </c>
      <c r="D49" s="229">
        <v>12</v>
      </c>
      <c r="E49" s="229">
        <v>2</v>
      </c>
      <c r="F49" s="229"/>
      <c r="G49" s="229"/>
      <c r="H49" s="229"/>
      <c r="I49" s="6">
        <f t="shared" si="0"/>
        <v>16</v>
      </c>
      <c r="J49" s="7">
        <f t="shared" si="5"/>
        <v>36</v>
      </c>
      <c r="K49" s="578"/>
      <c r="L49" s="610"/>
      <c r="M49" s="189"/>
      <c r="N49" s="229">
        <v>5</v>
      </c>
      <c r="O49" s="229"/>
      <c r="P49" s="229"/>
      <c r="Q49" s="229"/>
      <c r="R49" s="229"/>
      <c r="S49" s="6">
        <f t="shared" si="1"/>
        <v>5</v>
      </c>
      <c r="T49" s="7">
        <f t="shared" si="6"/>
        <v>18</v>
      </c>
      <c r="U49" s="578"/>
      <c r="V49" s="603"/>
    </row>
    <row r="50" spans="1:28">
      <c r="A50" s="81">
        <v>0.562499999999999</v>
      </c>
      <c r="B50" s="83">
        <v>0.56597222222222099</v>
      </c>
      <c r="C50" s="189">
        <v>1</v>
      </c>
      <c r="D50" s="229">
        <v>10</v>
      </c>
      <c r="E50" s="229"/>
      <c r="F50" s="229"/>
      <c r="G50" s="229"/>
      <c r="H50" s="229"/>
      <c r="I50" s="6">
        <f t="shared" si="0"/>
        <v>11</v>
      </c>
      <c r="J50" s="7">
        <f t="shared" si="5"/>
        <v>39</v>
      </c>
      <c r="K50" s="578"/>
      <c r="L50" s="610"/>
      <c r="M50" s="189"/>
      <c r="N50" s="229">
        <v>6</v>
      </c>
      <c r="O50" s="229">
        <v>1</v>
      </c>
      <c r="P50" s="229"/>
      <c r="Q50" s="229"/>
      <c r="R50" s="229"/>
      <c r="S50" s="6">
        <f t="shared" si="1"/>
        <v>7</v>
      </c>
      <c r="T50" s="7">
        <f t="shared" si="6"/>
        <v>18</v>
      </c>
      <c r="U50" s="578"/>
      <c r="V50" s="603"/>
    </row>
    <row r="51" spans="1:28">
      <c r="A51" s="81">
        <v>0.56597222222222199</v>
      </c>
      <c r="B51" s="82">
        <v>0.56944444444444398</v>
      </c>
      <c r="C51" s="189"/>
      <c r="D51" s="229">
        <v>11</v>
      </c>
      <c r="E51" s="229"/>
      <c r="F51" s="229">
        <v>1</v>
      </c>
      <c r="G51" s="229"/>
      <c r="H51" s="229"/>
      <c r="I51" s="6">
        <f t="shared" si="0"/>
        <v>12</v>
      </c>
      <c r="J51" s="7">
        <f t="shared" si="5"/>
        <v>39</v>
      </c>
      <c r="K51" s="578"/>
      <c r="L51" s="610"/>
      <c r="M51" s="189"/>
      <c r="N51" s="229">
        <v>10</v>
      </c>
      <c r="O51" s="229">
        <v>1</v>
      </c>
      <c r="P51" s="229"/>
      <c r="Q51" s="229"/>
      <c r="R51" s="229"/>
      <c r="S51" s="6">
        <f t="shared" si="1"/>
        <v>11</v>
      </c>
      <c r="T51" s="7">
        <f t="shared" si="6"/>
        <v>23</v>
      </c>
      <c r="U51" s="578"/>
      <c r="V51" s="603"/>
    </row>
    <row r="52" spans="1:28">
      <c r="A52" s="81">
        <v>0.56944444444444398</v>
      </c>
      <c r="B52" s="83">
        <v>0.57291666666666596</v>
      </c>
      <c r="C52" s="189"/>
      <c r="D52" s="229">
        <v>8</v>
      </c>
      <c r="E52" s="229">
        <v>1</v>
      </c>
      <c r="F52" s="229"/>
      <c r="G52" s="229"/>
      <c r="H52" s="229"/>
      <c r="I52" s="6">
        <f t="shared" si="0"/>
        <v>9</v>
      </c>
      <c r="J52" s="7">
        <f t="shared" si="5"/>
        <v>32</v>
      </c>
      <c r="K52" s="578"/>
      <c r="L52" s="610"/>
      <c r="M52" s="189"/>
      <c r="N52" s="229">
        <v>12</v>
      </c>
      <c r="O52" s="229"/>
      <c r="P52" s="229"/>
      <c r="Q52" s="229"/>
      <c r="R52" s="229"/>
      <c r="S52" s="6">
        <f t="shared" si="1"/>
        <v>12</v>
      </c>
      <c r="T52" s="7">
        <f t="shared" si="6"/>
        <v>30</v>
      </c>
      <c r="U52" s="578"/>
      <c r="V52" s="603"/>
    </row>
    <row r="53" spans="1:28">
      <c r="A53" s="81">
        <v>0.57291666666666596</v>
      </c>
      <c r="B53" s="82">
        <v>0.57638888888888795</v>
      </c>
      <c r="C53" s="189"/>
      <c r="D53" s="229">
        <v>10</v>
      </c>
      <c r="E53" s="229">
        <v>1</v>
      </c>
      <c r="F53" s="229"/>
      <c r="G53" s="229"/>
      <c r="H53" s="229"/>
      <c r="I53" s="6">
        <f t="shared" si="0"/>
        <v>11</v>
      </c>
      <c r="J53" s="7">
        <f t="shared" si="5"/>
        <v>32</v>
      </c>
      <c r="K53" s="578"/>
      <c r="L53" s="610"/>
      <c r="M53" s="189"/>
      <c r="N53" s="229">
        <v>10</v>
      </c>
      <c r="O53" s="229"/>
      <c r="P53" s="229"/>
      <c r="Q53" s="229"/>
      <c r="R53" s="229"/>
      <c r="S53" s="6">
        <f t="shared" si="1"/>
        <v>10</v>
      </c>
      <c r="T53" s="7">
        <f t="shared" si="6"/>
        <v>33</v>
      </c>
      <c r="U53" s="578"/>
      <c r="V53" s="603"/>
    </row>
    <row r="54" spans="1:28">
      <c r="A54" s="81">
        <v>0.57638888888888795</v>
      </c>
      <c r="B54" s="83">
        <v>0.57986111111111005</v>
      </c>
      <c r="C54" s="189">
        <v>1</v>
      </c>
      <c r="D54" s="229">
        <v>11</v>
      </c>
      <c r="E54" s="229"/>
      <c r="F54" s="229"/>
      <c r="G54" s="229"/>
      <c r="H54" s="229"/>
      <c r="I54" s="6">
        <f t="shared" si="0"/>
        <v>12</v>
      </c>
      <c r="J54" s="7">
        <f t="shared" si="5"/>
        <v>32</v>
      </c>
      <c r="K54" s="578"/>
      <c r="L54" s="610"/>
      <c r="M54" s="189"/>
      <c r="N54" s="229">
        <v>10</v>
      </c>
      <c r="O54" s="229">
        <v>1</v>
      </c>
      <c r="P54" s="229"/>
      <c r="Q54" s="229"/>
      <c r="R54" s="229"/>
      <c r="S54" s="6">
        <f t="shared" si="1"/>
        <v>11</v>
      </c>
      <c r="T54" s="7">
        <f t="shared" si="6"/>
        <v>33</v>
      </c>
      <c r="U54" s="578"/>
      <c r="V54" s="603"/>
    </row>
    <row r="55" spans="1:28" ht="15.75" thickBot="1">
      <c r="A55" s="84">
        <v>0.57986111111111005</v>
      </c>
      <c r="B55" s="85">
        <v>0.58333333333333204</v>
      </c>
      <c r="C55" s="190"/>
      <c r="D55" s="155">
        <v>9</v>
      </c>
      <c r="E55" s="155">
        <v>1</v>
      </c>
      <c r="F55" s="155"/>
      <c r="G55" s="155">
        <v>1</v>
      </c>
      <c r="H55" s="155"/>
      <c r="I55" s="297">
        <f t="shared" si="0"/>
        <v>11</v>
      </c>
      <c r="J55" s="22">
        <f t="shared" si="5"/>
        <v>34</v>
      </c>
      <c r="K55" s="579"/>
      <c r="L55" s="611"/>
      <c r="M55" s="190"/>
      <c r="N55" s="155">
        <v>8</v>
      </c>
      <c r="O55" s="155">
        <v>1</v>
      </c>
      <c r="P55" s="155">
        <v>1</v>
      </c>
      <c r="Q55" s="155"/>
      <c r="R55" s="155"/>
      <c r="S55" s="297">
        <f t="shared" si="1"/>
        <v>10</v>
      </c>
      <c r="T55" s="22">
        <f t="shared" si="6"/>
        <v>31</v>
      </c>
      <c r="U55" s="579"/>
      <c r="V55" s="604"/>
      <c r="W55" t="s">
        <v>98</v>
      </c>
    </row>
    <row r="56" spans="1:28" ht="15.75" thickBot="1"/>
    <row r="57" spans="1:28" ht="15.75" thickBot="1">
      <c r="A57" s="580" t="s">
        <v>64</v>
      </c>
      <c r="B57" s="581"/>
      <c r="C57" s="34">
        <f t="shared" ref="C57:I57" si="7">SUM(C8:C55)</f>
        <v>10</v>
      </c>
      <c r="D57" s="35">
        <f t="shared" si="7"/>
        <v>339</v>
      </c>
      <c r="E57" s="35">
        <f t="shared" si="7"/>
        <v>34</v>
      </c>
      <c r="F57" s="35">
        <f t="shared" si="7"/>
        <v>21</v>
      </c>
      <c r="G57" s="35">
        <f t="shared" si="7"/>
        <v>5</v>
      </c>
      <c r="H57" s="35">
        <f t="shared" si="7"/>
        <v>2</v>
      </c>
      <c r="I57" s="35">
        <f t="shared" si="7"/>
        <v>411</v>
      </c>
      <c r="J57" s="35">
        <f>MAX(J8:J55)</f>
        <v>39</v>
      </c>
      <c r="K57" s="35">
        <f>MAX(K8:K55)</f>
        <v>130</v>
      </c>
      <c r="L57" s="77">
        <f>MIN(L8:L55)</f>
        <v>0.83333333333333337</v>
      </c>
      <c r="M57" s="35">
        <f t="shared" ref="M57:S57" si="8">SUM(M8:M55)</f>
        <v>9</v>
      </c>
      <c r="N57" s="35">
        <f t="shared" si="8"/>
        <v>296</v>
      </c>
      <c r="O57" s="35">
        <f t="shared" si="8"/>
        <v>32</v>
      </c>
      <c r="P57" s="35">
        <f t="shared" si="8"/>
        <v>18</v>
      </c>
      <c r="Q57" s="35">
        <f t="shared" si="8"/>
        <v>4</v>
      </c>
      <c r="R57" s="35">
        <f t="shared" si="8"/>
        <v>3</v>
      </c>
      <c r="S57" s="35">
        <f t="shared" si="8"/>
        <v>362</v>
      </c>
      <c r="T57" s="35">
        <f>MAX(T8:T55)</f>
        <v>33</v>
      </c>
      <c r="U57" s="35">
        <f>MAX(U8:U55)</f>
        <v>105</v>
      </c>
      <c r="V57" s="77">
        <f>MIN(V8:V55)</f>
        <v>0.79545454545454541</v>
      </c>
      <c r="X57">
        <f>SUM(X8:X55)</f>
        <v>2</v>
      </c>
      <c r="AA57">
        <f>SUM(AA8:AA55)</f>
        <v>3</v>
      </c>
    </row>
    <row r="58" spans="1:28" ht="15.75" thickBot="1">
      <c r="X58">
        <v>18</v>
      </c>
      <c r="AA58">
        <v>11</v>
      </c>
    </row>
    <row r="59" spans="1:28" ht="15.75" thickBot="1">
      <c r="C59" s="51">
        <f>ROUND((C57/$L$57),0)</f>
        <v>12</v>
      </c>
      <c r="D59" s="52">
        <f>ROUND((D57/$L$57),0)</f>
        <v>407</v>
      </c>
      <c r="E59" s="52">
        <f>ROUND((E57/$L$57),0)</f>
        <v>41</v>
      </c>
      <c r="F59" s="52"/>
      <c r="G59" s="52"/>
      <c r="H59" s="52">
        <f>ROUND((H57/$L$57),0)</f>
        <v>2</v>
      </c>
      <c r="I59" s="53">
        <f>SUM(C59:H59)</f>
        <v>462</v>
      </c>
      <c r="M59" s="51">
        <f>ROUND((M57/$V$57),0)</f>
        <v>11</v>
      </c>
      <c r="N59" s="52">
        <f>ROUND((N57/$V$57),0)</f>
        <v>372</v>
      </c>
      <c r="O59" s="52">
        <f>ROUND((O57/$V$57),0)</f>
        <v>40</v>
      </c>
      <c r="P59" s="52"/>
      <c r="Q59" s="52"/>
      <c r="R59" s="52">
        <f>ROUND((R57/$V$57),0)</f>
        <v>4</v>
      </c>
      <c r="S59" s="53">
        <f>SUM(M59:R59)</f>
        <v>427</v>
      </c>
    </row>
    <row r="60" spans="1:28" ht="15.75" thickBot="1">
      <c r="X60" s="139">
        <f>X57-X58-X61-X62</f>
        <v>-23</v>
      </c>
      <c r="Y60">
        <f>X60/X57</f>
        <v>-11.5</v>
      </c>
      <c r="AA60" s="139">
        <f>AA57-AA58-AA61-AA62</f>
        <v>-15</v>
      </c>
      <c r="AB60">
        <f>AA60/AA57</f>
        <v>-5</v>
      </c>
    </row>
    <row r="61" spans="1:28" ht="15.75" thickBot="1">
      <c r="A61" s="634" t="s">
        <v>65</v>
      </c>
      <c r="B61" s="635"/>
      <c r="C61" s="51">
        <f>C59+M59</f>
        <v>23</v>
      </c>
      <c r="D61" s="52">
        <f>D59+N59</f>
        <v>779</v>
      </c>
      <c r="E61" s="52">
        <f>E59+O59</f>
        <v>81</v>
      </c>
      <c r="F61" s="52"/>
      <c r="G61" s="52"/>
      <c r="H61" s="52">
        <f>H59+R59</f>
        <v>6</v>
      </c>
      <c r="I61" s="53">
        <f>I59+S59</f>
        <v>889</v>
      </c>
      <c r="X61">
        <v>5</v>
      </c>
      <c r="Y61">
        <f>X61/X57</f>
        <v>2.5</v>
      </c>
      <c r="Z61" t="s">
        <v>102</v>
      </c>
      <c r="AA61">
        <v>4</v>
      </c>
      <c r="AB61">
        <f>AA61/AA57</f>
        <v>1.3333333333333333</v>
      </c>
    </row>
    <row r="62" spans="1:28" ht="15.75" thickBot="1">
      <c r="X62">
        <v>2</v>
      </c>
      <c r="Y62">
        <f>X62/X57</f>
        <v>1</v>
      </c>
      <c r="Z62" t="s">
        <v>101</v>
      </c>
      <c r="AA62">
        <v>3</v>
      </c>
      <c r="AB62">
        <f>AA62/AA57</f>
        <v>1</v>
      </c>
    </row>
    <row r="63" spans="1:28">
      <c r="B63" s="69" t="s">
        <v>41</v>
      </c>
      <c r="C63" s="33"/>
      <c r="D63" s="76">
        <f>C61</f>
        <v>23</v>
      </c>
    </row>
    <row r="64" spans="1:28">
      <c r="B64" s="29" t="s">
        <v>42</v>
      </c>
      <c r="C64" s="10" t="s">
        <v>34</v>
      </c>
      <c r="D64" s="19">
        <f>D61</f>
        <v>779</v>
      </c>
    </row>
    <row r="65" spans="1:22">
      <c r="B65" s="29" t="s">
        <v>8</v>
      </c>
      <c r="C65" s="10" t="s">
        <v>35</v>
      </c>
      <c r="D65" s="19">
        <f>E61</f>
        <v>81</v>
      </c>
    </row>
    <row r="66" spans="1:22" ht="15.75" thickBot="1">
      <c r="B66" s="70" t="s">
        <v>46</v>
      </c>
      <c r="C66" s="27" t="s">
        <v>36</v>
      </c>
      <c r="D66" s="24">
        <f>H61</f>
        <v>6</v>
      </c>
    </row>
    <row r="74" spans="1:22" ht="15.75" thickBot="1"/>
    <row r="75" spans="1:22" ht="18" customHeight="1" thickBot="1">
      <c r="A75" s="567" t="s">
        <v>16</v>
      </c>
      <c r="B75" s="568"/>
      <c r="C75" s="569" t="s">
        <v>17</v>
      </c>
      <c r="D75" s="570"/>
      <c r="E75" s="570"/>
      <c r="F75" s="570"/>
      <c r="G75" s="570"/>
      <c r="H75" s="570"/>
      <c r="I75" s="570"/>
      <c r="J75" s="570"/>
      <c r="K75" s="570"/>
      <c r="L75" s="571"/>
      <c r="M75" s="570" t="s">
        <v>194</v>
      </c>
      <c r="N75" s="570"/>
      <c r="O75" s="570"/>
      <c r="P75" s="570"/>
      <c r="Q75" s="570"/>
      <c r="R75" s="570"/>
      <c r="S75" s="570"/>
      <c r="T75" s="570"/>
      <c r="U75" s="570"/>
      <c r="V75" s="571"/>
    </row>
    <row r="76" spans="1:22" ht="16.5" customHeight="1" thickBot="1">
      <c r="A76" s="612" t="s">
        <v>213</v>
      </c>
      <c r="B76" s="646"/>
      <c r="C76" s="633" t="s">
        <v>2</v>
      </c>
      <c r="D76" s="573"/>
      <c r="E76" s="574" t="s">
        <v>3</v>
      </c>
      <c r="F76" s="574"/>
      <c r="G76" s="574"/>
      <c r="H76" s="574"/>
      <c r="I76" s="621" t="s">
        <v>195</v>
      </c>
      <c r="J76" s="621" t="s">
        <v>203</v>
      </c>
      <c r="K76" s="575"/>
      <c r="L76" s="624" t="s">
        <v>5</v>
      </c>
      <c r="M76" s="572" t="s">
        <v>2</v>
      </c>
      <c r="N76" s="573"/>
      <c r="O76" s="574" t="s">
        <v>3</v>
      </c>
      <c r="P76" s="574"/>
      <c r="Q76" s="574"/>
      <c r="R76" s="574"/>
      <c r="S76" s="621" t="s">
        <v>195</v>
      </c>
      <c r="T76" s="621" t="s">
        <v>203</v>
      </c>
      <c r="U76" s="575"/>
      <c r="V76" s="624" t="s">
        <v>5</v>
      </c>
    </row>
    <row r="77" spans="1:22" ht="79.5" thickBot="1">
      <c r="A77" s="612" t="s">
        <v>1</v>
      </c>
      <c r="B77" s="646"/>
      <c r="C77" s="512" t="s">
        <v>6</v>
      </c>
      <c r="D77" s="506" t="s">
        <v>7</v>
      </c>
      <c r="E77" s="507" t="s">
        <v>8</v>
      </c>
      <c r="F77" s="507" t="s">
        <v>9</v>
      </c>
      <c r="G77" s="507" t="s">
        <v>9</v>
      </c>
      <c r="H77" s="507" t="s">
        <v>197</v>
      </c>
      <c r="I77" s="622"/>
      <c r="J77" s="622"/>
      <c r="K77" s="576"/>
      <c r="L77" s="625"/>
      <c r="M77" s="505" t="s">
        <v>6</v>
      </c>
      <c r="N77" s="506" t="s">
        <v>7</v>
      </c>
      <c r="O77" s="507" t="s">
        <v>8</v>
      </c>
      <c r="P77" s="507" t="s">
        <v>9</v>
      </c>
      <c r="Q77" s="507" t="s">
        <v>9</v>
      </c>
      <c r="R77" s="507" t="s">
        <v>197</v>
      </c>
      <c r="S77" s="622"/>
      <c r="T77" s="622"/>
      <c r="U77" s="576"/>
      <c r="V77" s="625"/>
    </row>
    <row r="78" spans="1:22" s="255" customFormat="1" ht="15.75" thickBot="1">
      <c r="A78" s="647" t="s">
        <v>205</v>
      </c>
      <c r="B78" s="648"/>
      <c r="C78" s="513"/>
      <c r="D78" s="514" t="s">
        <v>34</v>
      </c>
      <c r="E78" s="514" t="s">
        <v>35</v>
      </c>
      <c r="F78" s="514" t="s">
        <v>36</v>
      </c>
      <c r="G78" s="514" t="s">
        <v>102</v>
      </c>
      <c r="H78" s="514" t="s">
        <v>104</v>
      </c>
      <c r="I78" s="623"/>
      <c r="J78" s="623"/>
      <c r="K78" s="515"/>
      <c r="L78" s="626"/>
      <c r="M78" s="516"/>
      <c r="N78" s="514" t="s">
        <v>34</v>
      </c>
      <c r="O78" s="514" t="s">
        <v>35</v>
      </c>
      <c r="P78" s="514" t="s">
        <v>36</v>
      </c>
      <c r="Q78" s="514" t="s">
        <v>102</v>
      </c>
      <c r="R78" s="514" t="s">
        <v>104</v>
      </c>
      <c r="S78" s="623"/>
      <c r="T78" s="623"/>
      <c r="U78" s="515"/>
      <c r="V78" s="626"/>
    </row>
    <row r="79" spans="1:22">
      <c r="A79" s="298">
        <v>0.41666666666666702</v>
      </c>
      <c r="B79" s="329">
        <v>0.45833333333333298</v>
      </c>
      <c r="C79" s="335">
        <f t="shared" ref="C79:H79" si="9">SUM(C8:C19)</f>
        <v>1</v>
      </c>
      <c r="D79" s="267">
        <f t="shared" si="9"/>
        <v>61</v>
      </c>
      <c r="E79" s="267">
        <f t="shared" si="9"/>
        <v>9</v>
      </c>
      <c r="F79" s="267">
        <f t="shared" si="9"/>
        <v>6</v>
      </c>
      <c r="G79" s="267">
        <f t="shared" si="9"/>
        <v>1</v>
      </c>
      <c r="H79" s="267">
        <f t="shared" si="9"/>
        <v>1</v>
      </c>
      <c r="I79" s="267">
        <f>SUM(C79:H79)</f>
        <v>79</v>
      </c>
      <c r="J79" s="268">
        <f>I79*100/$I$83</f>
        <v>19.221411192214113</v>
      </c>
      <c r="K79" s="267">
        <f>K8</f>
        <v>79</v>
      </c>
      <c r="L79" s="269">
        <f>L8</f>
        <v>0.89772727272727271</v>
      </c>
      <c r="M79" s="332">
        <f t="shared" ref="M79:R79" si="10">SUM(M8:M19)</f>
        <v>5</v>
      </c>
      <c r="N79" s="267">
        <f t="shared" si="10"/>
        <v>57</v>
      </c>
      <c r="O79" s="267">
        <f t="shared" si="10"/>
        <v>8</v>
      </c>
      <c r="P79" s="267">
        <f t="shared" si="10"/>
        <v>6</v>
      </c>
      <c r="Q79" s="267">
        <f t="shared" si="10"/>
        <v>1</v>
      </c>
      <c r="R79" s="267">
        <f t="shared" si="10"/>
        <v>1</v>
      </c>
      <c r="S79" s="267">
        <f>SUM(M79:R79)</f>
        <v>78</v>
      </c>
      <c r="T79" s="299">
        <f>S79*100/$S$83</f>
        <v>21.546961325966851</v>
      </c>
      <c r="U79" s="267">
        <f>U8</f>
        <v>78</v>
      </c>
      <c r="V79" s="269">
        <f>V8</f>
        <v>0.9285714285714286</v>
      </c>
    </row>
    <row r="80" spans="1:22">
      <c r="A80" s="270">
        <v>0.45833333333333398</v>
      </c>
      <c r="B80" s="330">
        <v>0.5</v>
      </c>
      <c r="C80" s="273">
        <f t="shared" ref="C80:H80" si="11">SUM(C20:C31)</f>
        <v>2</v>
      </c>
      <c r="D80" s="272">
        <f t="shared" si="11"/>
        <v>68</v>
      </c>
      <c r="E80" s="272">
        <f t="shared" si="11"/>
        <v>10</v>
      </c>
      <c r="F80" s="272">
        <f t="shared" si="11"/>
        <v>6</v>
      </c>
      <c r="G80" s="272">
        <f t="shared" si="11"/>
        <v>1</v>
      </c>
      <c r="H80" s="272">
        <f t="shared" si="11"/>
        <v>1</v>
      </c>
      <c r="I80" s="272">
        <f>SUM(C80:H80)</f>
        <v>88</v>
      </c>
      <c r="J80" s="300">
        <f>I80*100/$I$83</f>
        <v>21.411192214111921</v>
      </c>
      <c r="K80" s="272">
        <f>K20</f>
        <v>88</v>
      </c>
      <c r="L80" s="302">
        <f>L20</f>
        <v>0.88</v>
      </c>
      <c r="M80" s="333">
        <f t="shared" ref="M80:R80" si="12">SUM(M20:M31)</f>
        <v>2</v>
      </c>
      <c r="N80" s="272">
        <f t="shared" si="12"/>
        <v>64</v>
      </c>
      <c r="O80" s="272">
        <f t="shared" si="12"/>
        <v>8</v>
      </c>
      <c r="P80" s="272">
        <f t="shared" si="12"/>
        <v>7</v>
      </c>
      <c r="Q80" s="272">
        <f t="shared" si="12"/>
        <v>2</v>
      </c>
      <c r="R80" s="272">
        <f t="shared" si="12"/>
        <v>0</v>
      </c>
      <c r="S80" s="272">
        <f>SUM(M80:R80)</f>
        <v>83</v>
      </c>
      <c r="T80" s="301">
        <f>S80*100/$S$83</f>
        <v>22.928176795580111</v>
      </c>
      <c r="U80" s="272">
        <f>U20</f>
        <v>83</v>
      </c>
      <c r="V80" s="302">
        <f>V20</f>
        <v>0.83</v>
      </c>
    </row>
    <row r="81" spans="1:22">
      <c r="A81" s="270">
        <v>0.5</v>
      </c>
      <c r="B81" s="330">
        <v>0.54166666666666596</v>
      </c>
      <c r="C81" s="273">
        <f t="shared" ref="C81:H81" si="13">SUM(C32:C43)</f>
        <v>1</v>
      </c>
      <c r="D81" s="272">
        <f t="shared" si="13"/>
        <v>96</v>
      </c>
      <c r="E81" s="272">
        <f t="shared" si="13"/>
        <v>8</v>
      </c>
      <c r="F81" s="272">
        <f t="shared" si="13"/>
        <v>8</v>
      </c>
      <c r="G81" s="272">
        <f t="shared" si="13"/>
        <v>1</v>
      </c>
      <c r="H81" s="272">
        <f t="shared" si="13"/>
        <v>0</v>
      </c>
      <c r="I81" s="272">
        <f>SUM(C81:H81)</f>
        <v>114</v>
      </c>
      <c r="J81" s="300">
        <f>I81*100/$I$83</f>
        <v>27.737226277372262</v>
      </c>
      <c r="K81" s="272">
        <f>K32</f>
        <v>114</v>
      </c>
      <c r="L81" s="302">
        <f>L32</f>
        <v>0.890625</v>
      </c>
      <c r="M81" s="333">
        <f t="shared" ref="M81:R81" si="14">SUM(M32:M43)</f>
        <v>2</v>
      </c>
      <c r="N81" s="272">
        <f t="shared" si="14"/>
        <v>79</v>
      </c>
      <c r="O81" s="272">
        <f t="shared" si="14"/>
        <v>8</v>
      </c>
      <c r="P81" s="272">
        <f t="shared" si="14"/>
        <v>4</v>
      </c>
      <c r="Q81" s="272">
        <f t="shared" si="14"/>
        <v>1</v>
      </c>
      <c r="R81" s="272">
        <f t="shared" si="14"/>
        <v>2</v>
      </c>
      <c r="S81" s="272">
        <f>SUM(M81:R81)</f>
        <v>96</v>
      </c>
      <c r="T81" s="301">
        <f>S81*100/$S$83</f>
        <v>26.519337016574585</v>
      </c>
      <c r="U81" s="272">
        <f>U32</f>
        <v>96</v>
      </c>
      <c r="V81" s="302">
        <f>V32</f>
        <v>0.88888888888888884</v>
      </c>
    </row>
    <row r="82" spans="1:22" ht="15.75" thickBot="1">
      <c r="A82" s="275">
        <v>0.54166666666666696</v>
      </c>
      <c r="B82" s="331">
        <v>0.58333333333333304</v>
      </c>
      <c r="C82" s="281">
        <f t="shared" ref="C82:H82" si="15">SUM(C44:C55)</f>
        <v>6</v>
      </c>
      <c r="D82" s="277">
        <f t="shared" si="15"/>
        <v>114</v>
      </c>
      <c r="E82" s="277">
        <f t="shared" si="15"/>
        <v>7</v>
      </c>
      <c r="F82" s="277">
        <f t="shared" si="15"/>
        <v>1</v>
      </c>
      <c r="G82" s="277">
        <f t="shared" si="15"/>
        <v>2</v>
      </c>
      <c r="H82" s="277">
        <f t="shared" si="15"/>
        <v>0</v>
      </c>
      <c r="I82" s="277">
        <f>SUM(C82:H82)</f>
        <v>130</v>
      </c>
      <c r="J82" s="303">
        <f>I82*100/$I$83</f>
        <v>31.630170316301705</v>
      </c>
      <c r="K82" s="277">
        <f>K44</f>
        <v>130</v>
      </c>
      <c r="L82" s="305">
        <f>L44</f>
        <v>0.83333333333333337</v>
      </c>
      <c r="M82" s="334">
        <f t="shared" ref="M82:R82" si="16">SUM(M44:M55)</f>
        <v>0</v>
      </c>
      <c r="N82" s="277">
        <f t="shared" si="16"/>
        <v>96</v>
      </c>
      <c r="O82" s="277">
        <f t="shared" si="16"/>
        <v>8</v>
      </c>
      <c r="P82" s="277">
        <f t="shared" si="16"/>
        <v>1</v>
      </c>
      <c r="Q82" s="277">
        <f t="shared" si="16"/>
        <v>0</v>
      </c>
      <c r="R82" s="277">
        <f t="shared" si="16"/>
        <v>0</v>
      </c>
      <c r="S82" s="277">
        <f>SUM(M82:R82)</f>
        <v>105</v>
      </c>
      <c r="T82" s="304">
        <f>S82*100/$S$83</f>
        <v>29.005524861878452</v>
      </c>
      <c r="U82" s="277">
        <f>U44</f>
        <v>105</v>
      </c>
      <c r="V82" s="305">
        <f>V44</f>
        <v>0.79545454545454541</v>
      </c>
    </row>
    <row r="83" spans="1:22" ht="18.75" customHeight="1">
      <c r="A83" s="565" t="s">
        <v>64</v>
      </c>
      <c r="B83" s="649"/>
      <c r="C83" s="286">
        <f>SUM(C79:C82)</f>
        <v>10</v>
      </c>
      <c r="D83" s="284">
        <f t="shared" ref="D83:S83" si="17">SUM(D79:D82)</f>
        <v>339</v>
      </c>
      <c r="E83" s="284">
        <f t="shared" si="17"/>
        <v>34</v>
      </c>
      <c r="F83" s="284">
        <f>SUM(F79:F82)</f>
        <v>21</v>
      </c>
      <c r="G83" s="284">
        <f>SUM(G79:G82)</f>
        <v>5</v>
      </c>
      <c r="H83" s="284">
        <f t="shared" si="17"/>
        <v>2</v>
      </c>
      <c r="I83" s="285">
        <f t="shared" si="17"/>
        <v>411</v>
      </c>
      <c r="J83" s="627" t="s">
        <v>207</v>
      </c>
      <c r="K83" s="502"/>
      <c r="L83" s="630">
        <f>MIN(L79:L82)</f>
        <v>0.83333333333333337</v>
      </c>
      <c r="M83" s="283">
        <f t="shared" si="17"/>
        <v>9</v>
      </c>
      <c r="N83" s="284">
        <f t="shared" si="17"/>
        <v>296</v>
      </c>
      <c r="O83" s="284">
        <f t="shared" si="17"/>
        <v>32</v>
      </c>
      <c r="P83" s="284">
        <f>SUM(P79:P82)</f>
        <v>18</v>
      </c>
      <c r="Q83" s="284">
        <f>SUM(Q79:Q82)</f>
        <v>4</v>
      </c>
      <c r="R83" s="284">
        <f t="shared" si="17"/>
        <v>3</v>
      </c>
      <c r="S83" s="285">
        <f t="shared" si="17"/>
        <v>362</v>
      </c>
      <c r="T83" s="627" t="s">
        <v>207</v>
      </c>
      <c r="U83" s="502"/>
      <c r="V83" s="630">
        <f>MIN(V79:V82)</f>
        <v>0.79545454545454541</v>
      </c>
    </row>
    <row r="84" spans="1:22" ht="18.75" customHeight="1">
      <c r="A84" s="615" t="s">
        <v>198</v>
      </c>
      <c r="B84" s="650"/>
      <c r="C84" s="290">
        <f>C83*100/$I$83</f>
        <v>2.4330900243309004</v>
      </c>
      <c r="D84" s="288">
        <f t="shared" ref="D84:I84" si="18">D83*100/$I$83</f>
        <v>82.481751824817522</v>
      </c>
      <c r="E84" s="288">
        <f t="shared" si="18"/>
        <v>8.2725060827250605</v>
      </c>
      <c r="F84" s="288">
        <f t="shared" si="18"/>
        <v>5.1094890510948909</v>
      </c>
      <c r="G84" s="288">
        <f t="shared" si="18"/>
        <v>1.2165450121654502</v>
      </c>
      <c r="H84" s="288">
        <f t="shared" si="18"/>
        <v>0.48661800486618007</v>
      </c>
      <c r="I84" s="306">
        <f t="shared" si="18"/>
        <v>100</v>
      </c>
      <c r="J84" s="628"/>
      <c r="K84" s="517"/>
      <c r="L84" s="631"/>
      <c r="M84" s="287">
        <f>M83*100/$S$83</f>
        <v>2.4861878453038675</v>
      </c>
      <c r="N84" s="288">
        <f>N83*100/$I$83</f>
        <v>72.019464720194648</v>
      </c>
      <c r="O84" s="288">
        <f>O83*100/$I$83</f>
        <v>7.785888077858881</v>
      </c>
      <c r="P84" s="288">
        <f>P83*100/$I$83</f>
        <v>4.3795620437956204</v>
      </c>
      <c r="Q84" s="288">
        <f>Q83*100/$I$83</f>
        <v>0.97323600973236013</v>
      </c>
      <c r="R84" s="288">
        <f>R83*100/$I$83</f>
        <v>0.72992700729927007</v>
      </c>
      <c r="S84" s="306">
        <f>S83*100/$S$83</f>
        <v>100</v>
      </c>
      <c r="T84" s="628"/>
      <c r="U84" s="517"/>
      <c r="V84" s="631"/>
    </row>
    <row r="85" spans="1:22" ht="18.75" customHeight="1" thickBot="1">
      <c r="A85" s="651" t="s">
        <v>206</v>
      </c>
      <c r="B85" s="652"/>
      <c r="C85" s="307">
        <f t="shared" ref="C85:I85" si="19">ROUNDUP((C83/4),0)</f>
        <v>3</v>
      </c>
      <c r="D85" s="308">
        <f t="shared" si="19"/>
        <v>85</v>
      </c>
      <c r="E85" s="308">
        <f t="shared" si="19"/>
        <v>9</v>
      </c>
      <c r="F85" s="308">
        <f t="shared" si="19"/>
        <v>6</v>
      </c>
      <c r="G85" s="308">
        <f t="shared" si="19"/>
        <v>2</v>
      </c>
      <c r="H85" s="308">
        <f t="shared" si="19"/>
        <v>1</v>
      </c>
      <c r="I85" s="309">
        <f t="shared" si="19"/>
        <v>103</v>
      </c>
      <c r="J85" s="629"/>
      <c r="K85" s="518"/>
      <c r="L85" s="632"/>
      <c r="M85" s="310">
        <f t="shared" ref="M85:S85" si="20">ROUNDUP((M83/4),0)</f>
        <v>3</v>
      </c>
      <c r="N85" s="308">
        <f t="shared" si="20"/>
        <v>74</v>
      </c>
      <c r="O85" s="308">
        <f t="shared" si="20"/>
        <v>8</v>
      </c>
      <c r="P85" s="308">
        <f t="shared" si="20"/>
        <v>5</v>
      </c>
      <c r="Q85" s="308">
        <f t="shared" si="20"/>
        <v>1</v>
      </c>
      <c r="R85" s="308">
        <f t="shared" si="20"/>
        <v>1</v>
      </c>
      <c r="S85" s="309">
        <f t="shared" si="20"/>
        <v>91</v>
      </c>
      <c r="T85" s="629"/>
      <c r="U85" s="518"/>
      <c r="V85" s="632"/>
    </row>
    <row r="86" spans="1:22">
      <c r="A86" s="228"/>
      <c r="B86" s="228"/>
      <c r="C86" s="228"/>
      <c r="D86" s="228"/>
      <c r="E86" s="228"/>
      <c r="H86" s="228"/>
      <c r="I86" s="228"/>
      <c r="J86" s="228"/>
      <c r="K86" s="228"/>
      <c r="L86" s="228"/>
      <c r="M86" s="228"/>
      <c r="N86" s="228"/>
      <c r="O86" s="228"/>
      <c r="Q86" s="138"/>
      <c r="R86" s="138"/>
      <c r="S86" s="222"/>
      <c r="T86" s="222"/>
      <c r="U86" s="222"/>
      <c r="V86" s="222"/>
    </row>
    <row r="87" spans="1:22">
      <c r="A87" s="228"/>
      <c r="B87" s="228"/>
      <c r="C87" s="138"/>
      <c r="D87" s="138"/>
      <c r="E87" s="138"/>
      <c r="F87" s="138"/>
      <c r="G87" s="138"/>
      <c r="H87" s="138"/>
      <c r="I87" s="222"/>
      <c r="J87" s="222"/>
      <c r="K87" s="222"/>
      <c r="L87" s="222"/>
      <c r="M87" s="138"/>
      <c r="N87" s="138"/>
      <c r="O87" s="138"/>
      <c r="P87" s="138"/>
      <c r="Q87" s="138"/>
      <c r="R87" s="138"/>
      <c r="S87" s="228"/>
      <c r="T87" s="228"/>
      <c r="U87" s="228"/>
      <c r="V87" s="228"/>
    </row>
    <row r="88" spans="1:22">
      <c r="A88" s="228"/>
      <c r="B88" s="228"/>
      <c r="C88" s="138"/>
      <c r="D88" s="138"/>
      <c r="E88" s="138"/>
      <c r="F88" s="138"/>
      <c r="G88" s="138"/>
      <c r="H88" s="138"/>
      <c r="I88" s="228"/>
      <c r="J88" s="228"/>
      <c r="K88" s="228"/>
      <c r="L88" s="228"/>
      <c r="M88" s="138"/>
      <c r="N88" s="138"/>
      <c r="O88" s="138"/>
      <c r="P88" s="138"/>
      <c r="Q88" s="138"/>
      <c r="R88" s="138"/>
      <c r="S88" s="228"/>
      <c r="T88" s="228"/>
      <c r="U88" s="228"/>
      <c r="V88" s="228"/>
    </row>
    <row r="89" spans="1:22">
      <c r="A89" s="228"/>
      <c r="B89" s="228"/>
      <c r="C89" s="138"/>
      <c r="D89" s="138"/>
      <c r="E89" s="138"/>
      <c r="F89" s="138"/>
      <c r="G89" s="138"/>
      <c r="H89" s="138"/>
      <c r="I89" s="228"/>
      <c r="J89" s="228"/>
      <c r="K89" s="228"/>
      <c r="L89" s="228"/>
      <c r="M89" s="138"/>
      <c r="N89" s="138"/>
      <c r="O89" s="138"/>
      <c r="P89" s="138"/>
      <c r="Q89" s="138"/>
      <c r="R89" s="138"/>
      <c r="S89" s="228"/>
      <c r="T89" s="228"/>
      <c r="U89" s="228"/>
      <c r="V89" s="228"/>
    </row>
    <row r="90" spans="1:22">
      <c r="A90" s="228"/>
      <c r="B90" s="228"/>
      <c r="C90" s="138"/>
      <c r="D90" s="138"/>
      <c r="E90" s="138"/>
      <c r="F90" s="138"/>
      <c r="G90" s="138"/>
      <c r="H90" s="138"/>
      <c r="I90" s="228"/>
      <c r="J90" s="228"/>
      <c r="K90" s="228"/>
      <c r="L90" s="228"/>
      <c r="M90" s="138"/>
      <c r="N90" s="138"/>
      <c r="O90" s="138"/>
      <c r="P90" s="138"/>
    </row>
  </sheetData>
  <mergeCells count="64">
    <mergeCell ref="V83:V85"/>
    <mergeCell ref="A76:B76"/>
    <mergeCell ref="A77:B77"/>
    <mergeCell ref="A78:B78"/>
    <mergeCell ref="L83:L85"/>
    <mergeCell ref="J83:J85"/>
    <mergeCell ref="A83:B83"/>
    <mergeCell ref="A84:B84"/>
    <mergeCell ref="A85:B85"/>
    <mergeCell ref="I76:I78"/>
    <mergeCell ref="J76:J78"/>
    <mergeCell ref="L76:L78"/>
    <mergeCell ref="S76:S78"/>
    <mergeCell ref="T76:T78"/>
    <mergeCell ref="V76:V78"/>
    <mergeCell ref="V32:V43"/>
    <mergeCell ref="K44:K55"/>
    <mergeCell ref="L44:L55"/>
    <mergeCell ref="U44:U55"/>
    <mergeCell ref="V44:V55"/>
    <mergeCell ref="K32:K43"/>
    <mergeCell ref="L32:L43"/>
    <mergeCell ref="U32:U43"/>
    <mergeCell ref="V8:V19"/>
    <mergeCell ref="K20:K31"/>
    <mergeCell ref="L20:L31"/>
    <mergeCell ref="U20:U31"/>
    <mergeCell ref="V20:V31"/>
    <mergeCell ref="K8:K19"/>
    <mergeCell ref="L8:L19"/>
    <mergeCell ref="U8:U19"/>
    <mergeCell ref="A61:B61"/>
    <mergeCell ref="T83:T85"/>
    <mergeCell ref="A1:D3"/>
    <mergeCell ref="E1:V1"/>
    <mergeCell ref="E2:V2"/>
    <mergeCell ref="H3:V3"/>
    <mergeCell ref="B4:D4"/>
    <mergeCell ref="E4:V4"/>
    <mergeCell ref="V6:V7"/>
    <mergeCell ref="A57:B57"/>
    <mergeCell ref="A5:B5"/>
    <mergeCell ref="C5:V5"/>
    <mergeCell ref="A6:B7"/>
    <mergeCell ref="C6:D6"/>
    <mergeCell ref="E6:H6"/>
    <mergeCell ref="I6:I7"/>
    <mergeCell ref="J6:J7"/>
    <mergeCell ref="S6:S7"/>
    <mergeCell ref="T6:T7"/>
    <mergeCell ref="U6:U7"/>
    <mergeCell ref="K6:K7"/>
    <mergeCell ref="L6:L7"/>
    <mergeCell ref="M6:N6"/>
    <mergeCell ref="O6:R6"/>
    <mergeCell ref="A75:B75"/>
    <mergeCell ref="C75:L75"/>
    <mergeCell ref="M75:V75"/>
    <mergeCell ref="C76:D76"/>
    <mergeCell ref="E76:H76"/>
    <mergeCell ref="K76:K77"/>
    <mergeCell ref="M76:N76"/>
    <mergeCell ref="O76:R76"/>
    <mergeCell ref="U76:U77"/>
  </mergeCells>
  <pageMargins left="0.7" right="0.7" top="0.75" bottom="0.75" header="0.3" footer="0.3"/>
  <pageSetup orientation="landscape" r:id="rId1"/>
  <ignoredErrors>
    <ignoredError sqref="C80:C82 D79:F82 N79:R82 M80:M8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"/>
  <sheetViews>
    <sheetView workbookViewId="0">
      <selection activeCell="C9" sqref="C9:G12"/>
    </sheetView>
  </sheetViews>
  <sheetFormatPr baseColWidth="10" defaultRowHeight="15"/>
  <cols>
    <col min="4" max="4" width="11.5703125" customWidth="1"/>
    <col min="16" max="16" width="11.42578125" customWidth="1"/>
  </cols>
  <sheetData>
    <row r="1" spans="1:8" ht="15.75" thickBot="1">
      <c r="A1" s="102" t="s">
        <v>95</v>
      </c>
      <c r="C1" s="137">
        <f>F6</f>
        <v>1.2521218172740889</v>
      </c>
    </row>
    <row r="2" spans="1:8" s="255" customFormat="1" ht="15.75" thickBot="1">
      <c r="A2" s="151"/>
      <c r="C2" s="339" t="s">
        <v>216</v>
      </c>
      <c r="D2" s="657" t="s">
        <v>5</v>
      </c>
      <c r="E2" s="658"/>
      <c r="F2" s="659"/>
    </row>
    <row r="3" spans="1:8" s="255" customFormat="1">
      <c r="A3" s="151"/>
      <c r="C3" s="189">
        <v>1</v>
      </c>
      <c r="D3" s="233">
        <f>'conteo 1'!L187</f>
        <v>0.80263157894736847</v>
      </c>
      <c r="E3" s="233">
        <f>'conteo 1'!V187</f>
        <v>0.76315789473684215</v>
      </c>
      <c r="F3" s="158">
        <f>AVERAGE(D3:E3)</f>
        <v>0.78289473684210531</v>
      </c>
    </row>
    <row r="4" spans="1:8" s="255" customFormat="1" ht="15.75" thickBot="1">
      <c r="A4" s="151"/>
      <c r="C4" s="340">
        <v>2</v>
      </c>
      <c r="D4" s="337">
        <f>'conteo 2'!L57</f>
        <v>0.83333333333333337</v>
      </c>
      <c r="E4" s="338">
        <f>'conteo 2'!V57</f>
        <v>0.79545454545454541</v>
      </c>
      <c r="F4" s="341">
        <f>AVERAGE(D4:E4)</f>
        <v>0.81439393939393945</v>
      </c>
    </row>
    <row r="5" spans="1:8" s="255" customFormat="1" ht="15.75" thickBot="1">
      <c r="A5" s="151"/>
      <c r="C5" s="654" t="s">
        <v>217</v>
      </c>
      <c r="D5" s="655"/>
      <c r="E5" s="656"/>
      <c r="F5" s="342">
        <f>AVERAGE(F3:F4)</f>
        <v>0.79864433811802238</v>
      </c>
    </row>
    <row r="6" spans="1:8" ht="15.75" thickBot="1">
      <c r="C6" s="654" t="s">
        <v>218</v>
      </c>
      <c r="D6" s="655"/>
      <c r="E6" s="656"/>
      <c r="F6" s="407">
        <f>1/F5</f>
        <v>1.2521218172740889</v>
      </c>
    </row>
    <row r="7" spans="1:8" s="255" customFormat="1">
      <c r="C7" s="849"/>
      <c r="D7" s="849"/>
      <c r="E7" s="849"/>
      <c r="F7" s="850"/>
    </row>
    <row r="8" spans="1:8" s="255" customFormat="1" ht="15.75" thickBot="1">
      <c r="C8" s="849"/>
      <c r="D8" s="849"/>
      <c r="E8" s="849"/>
      <c r="F8" s="850"/>
    </row>
    <row r="9" spans="1:8" ht="15.75" thickBot="1">
      <c r="C9" s="343" t="s">
        <v>216</v>
      </c>
      <c r="D9" s="855" t="s">
        <v>277</v>
      </c>
      <c r="E9" s="855"/>
      <c r="F9" s="336" t="s">
        <v>82</v>
      </c>
      <c r="G9" s="348" t="s">
        <v>51</v>
      </c>
    </row>
    <row r="10" spans="1:8">
      <c r="A10" s="102" t="s">
        <v>96</v>
      </c>
      <c r="C10" s="851">
        <v>1</v>
      </c>
      <c r="D10" s="852">
        <f>'conteo 1'!I203</f>
        <v>140</v>
      </c>
      <c r="E10" s="852">
        <f>'conteo 1'!S203</f>
        <v>119</v>
      </c>
      <c r="F10" s="853">
        <f>D10+E10</f>
        <v>259</v>
      </c>
      <c r="G10" s="854">
        <f>F12/F10</f>
        <v>0.88223938223938225</v>
      </c>
    </row>
    <row r="11" spans="1:8" ht="15.75" thickBot="1">
      <c r="C11" s="179">
        <v>2</v>
      </c>
      <c r="D11" s="856">
        <f>'conteo 1'!I204</f>
        <v>106</v>
      </c>
      <c r="E11" s="856">
        <f>'conteo 1'!S204</f>
        <v>92</v>
      </c>
      <c r="F11" s="857">
        <f>D11+E11</f>
        <v>198</v>
      </c>
      <c r="G11" s="858">
        <f>F12/F11</f>
        <v>1.154040404040404</v>
      </c>
    </row>
    <row r="12" spans="1:8" ht="15.75" thickBot="1">
      <c r="C12" s="859" t="s">
        <v>93</v>
      </c>
      <c r="D12" s="860"/>
      <c r="E12" s="860"/>
      <c r="F12" s="861">
        <f>AVERAGE(F10:F11)</f>
        <v>228.5</v>
      </c>
      <c r="G12" s="862">
        <f>AVERAGE(G10:G11)</f>
        <v>1.0181398931398931</v>
      </c>
    </row>
    <row r="13" spans="1:8">
      <c r="A13" s="102" t="s">
        <v>85</v>
      </c>
    </row>
    <row r="14" spans="1:8" ht="15.75" thickBot="1">
      <c r="H14" s="208"/>
    </row>
    <row r="15" spans="1:8" ht="15.75" thickBot="1">
      <c r="B15" s="343" t="s">
        <v>66</v>
      </c>
      <c r="C15" s="336" t="s">
        <v>67</v>
      </c>
      <c r="D15" s="336" t="s">
        <v>68</v>
      </c>
      <c r="E15" s="348" t="s">
        <v>69</v>
      </c>
      <c r="H15" s="208"/>
    </row>
    <row r="16" spans="1:8">
      <c r="B16" s="344" t="s">
        <v>70</v>
      </c>
      <c r="C16" s="345">
        <v>31</v>
      </c>
      <c r="D16" s="346">
        <f>C16/7</f>
        <v>4.4285714285714288</v>
      </c>
      <c r="E16" s="347">
        <f>D16/4</f>
        <v>1.1071428571428572</v>
      </c>
    </row>
    <row r="17" spans="1:5">
      <c r="B17" s="107" t="s">
        <v>71</v>
      </c>
      <c r="C17" s="105">
        <v>28</v>
      </c>
      <c r="D17" s="106">
        <f t="shared" ref="D17:D27" si="0">C17/7</f>
        <v>4</v>
      </c>
      <c r="E17" s="108">
        <f t="shared" ref="E17:E27" si="1">D17/4</f>
        <v>1</v>
      </c>
    </row>
    <row r="18" spans="1:5">
      <c r="B18" s="107" t="s">
        <v>72</v>
      </c>
      <c r="C18" s="105">
        <v>31</v>
      </c>
      <c r="D18" s="106">
        <f t="shared" si="0"/>
        <v>4.4285714285714288</v>
      </c>
      <c r="E18" s="108">
        <f t="shared" si="1"/>
        <v>1.1071428571428572</v>
      </c>
    </row>
    <row r="19" spans="1:5">
      <c r="B19" s="109" t="s">
        <v>73</v>
      </c>
      <c r="C19" s="135">
        <v>30</v>
      </c>
      <c r="D19" s="136">
        <f t="shared" si="0"/>
        <v>4.2857142857142856</v>
      </c>
      <c r="E19" s="116">
        <f t="shared" si="1"/>
        <v>1.0714285714285714</v>
      </c>
    </row>
    <row r="20" spans="1:5">
      <c r="B20" s="107" t="s">
        <v>74</v>
      </c>
      <c r="C20" s="105">
        <v>31</v>
      </c>
      <c r="D20" s="106">
        <f t="shared" si="0"/>
        <v>4.4285714285714288</v>
      </c>
      <c r="E20" s="108">
        <f t="shared" si="1"/>
        <v>1.1071428571428572</v>
      </c>
    </row>
    <row r="21" spans="1:5">
      <c r="B21" s="107" t="s">
        <v>75</v>
      </c>
      <c r="C21" s="105">
        <v>30</v>
      </c>
      <c r="D21" s="106">
        <f t="shared" si="0"/>
        <v>4.2857142857142856</v>
      </c>
      <c r="E21" s="108">
        <f t="shared" si="1"/>
        <v>1.0714285714285714</v>
      </c>
    </row>
    <row r="22" spans="1:5">
      <c r="B22" s="107" t="s">
        <v>76</v>
      </c>
      <c r="C22" s="105">
        <v>31</v>
      </c>
      <c r="D22" s="106">
        <f t="shared" si="0"/>
        <v>4.4285714285714288</v>
      </c>
      <c r="E22" s="108">
        <f t="shared" si="1"/>
        <v>1.1071428571428572</v>
      </c>
    </row>
    <row r="23" spans="1:5">
      <c r="B23" s="107" t="s">
        <v>77</v>
      </c>
      <c r="C23" s="105">
        <v>31</v>
      </c>
      <c r="D23" s="106">
        <f t="shared" si="0"/>
        <v>4.4285714285714288</v>
      </c>
      <c r="E23" s="108">
        <f t="shared" si="1"/>
        <v>1.1071428571428572</v>
      </c>
    </row>
    <row r="24" spans="1:5">
      <c r="B24" s="107" t="s">
        <v>78</v>
      </c>
      <c r="C24" s="105">
        <v>30</v>
      </c>
      <c r="D24" s="106">
        <f t="shared" si="0"/>
        <v>4.2857142857142856</v>
      </c>
      <c r="E24" s="108">
        <f t="shared" si="1"/>
        <v>1.0714285714285714</v>
      </c>
    </row>
    <row r="25" spans="1:5">
      <c r="B25" s="107" t="s">
        <v>79</v>
      </c>
      <c r="C25" s="105">
        <v>31</v>
      </c>
      <c r="D25" s="106">
        <f t="shared" si="0"/>
        <v>4.4285714285714288</v>
      </c>
      <c r="E25" s="108">
        <f t="shared" si="1"/>
        <v>1.1071428571428572</v>
      </c>
    </row>
    <row r="26" spans="1:5">
      <c r="B26" s="107" t="s">
        <v>80</v>
      </c>
      <c r="C26" s="105">
        <v>30</v>
      </c>
      <c r="D26" s="106">
        <f t="shared" si="0"/>
        <v>4.2857142857142856</v>
      </c>
      <c r="E26" s="108">
        <f t="shared" si="1"/>
        <v>1.0714285714285714</v>
      </c>
    </row>
    <row r="27" spans="1:5" ht="15.75" thickBot="1">
      <c r="B27" s="110" t="s">
        <v>81</v>
      </c>
      <c r="C27" s="111">
        <v>31</v>
      </c>
      <c r="D27" s="112">
        <f t="shared" si="0"/>
        <v>4.4285714285714288</v>
      </c>
      <c r="E27" s="113">
        <f t="shared" si="1"/>
        <v>1.1071428571428572</v>
      </c>
    </row>
    <row r="28" spans="1:5" ht="15.75" thickBot="1">
      <c r="B28" s="104" t="s">
        <v>82</v>
      </c>
      <c r="C28" s="115">
        <f>SUM(C16:C27)</f>
        <v>365</v>
      </c>
      <c r="D28" s="114">
        <f>SUM(D16:D27)</f>
        <v>52.142857142857146</v>
      </c>
      <c r="E28" s="98"/>
    </row>
    <row r="31" spans="1:5">
      <c r="A31" s="102" t="s">
        <v>94</v>
      </c>
    </row>
    <row r="33" spans="2:7">
      <c r="B33" t="s">
        <v>86</v>
      </c>
    </row>
    <row r="35" spans="2:7" ht="15.75" thickBot="1"/>
    <row r="36" spans="2:7" ht="15.75" thickBot="1">
      <c r="B36" s="118" t="s">
        <v>92</v>
      </c>
      <c r="C36" s="103" t="s">
        <v>87</v>
      </c>
      <c r="D36" s="118" t="s">
        <v>88</v>
      </c>
      <c r="E36" s="118" t="s">
        <v>89</v>
      </c>
      <c r="F36" s="118" t="s">
        <v>90</v>
      </c>
      <c r="G36" s="118" t="s">
        <v>91</v>
      </c>
    </row>
    <row r="37" spans="2:7">
      <c r="B37" s="123" t="s">
        <v>70</v>
      </c>
      <c r="C37" s="122">
        <v>899123</v>
      </c>
      <c r="D37" s="33">
        <v>175024</v>
      </c>
      <c r="E37" s="33">
        <v>1268593</v>
      </c>
      <c r="F37" s="33">
        <f>SUM(C37:E37)</f>
        <v>2342740</v>
      </c>
      <c r="G37" s="119">
        <f>$F$50/F37</f>
        <v>1.1435567611713919</v>
      </c>
    </row>
    <row r="38" spans="2:7">
      <c r="B38" s="124" t="s">
        <v>71</v>
      </c>
      <c r="C38" s="28">
        <v>866765</v>
      </c>
      <c r="D38" s="10">
        <v>172871</v>
      </c>
      <c r="E38" s="10">
        <v>1124343</v>
      </c>
      <c r="F38" s="10">
        <f t="shared" ref="F38:F48" si="2">SUM(C38:E38)</f>
        <v>2163979</v>
      </c>
      <c r="G38" s="120">
        <f t="shared" ref="G38:G48" si="3">$F$50/F38</f>
        <v>1.2380231816790581</v>
      </c>
    </row>
    <row r="39" spans="2:7">
      <c r="B39" s="124" t="s">
        <v>72</v>
      </c>
      <c r="C39" s="28">
        <v>912580</v>
      </c>
      <c r="D39" s="10">
        <v>168244</v>
      </c>
      <c r="E39" s="10">
        <v>1253283</v>
      </c>
      <c r="F39" s="10">
        <f t="shared" si="2"/>
        <v>2334107</v>
      </c>
      <c r="G39" s="120">
        <f t="shared" si="3"/>
        <v>1.1477863554098704</v>
      </c>
    </row>
    <row r="40" spans="2:7">
      <c r="B40" s="125" t="s">
        <v>73</v>
      </c>
      <c r="C40" s="28">
        <v>906752</v>
      </c>
      <c r="D40" s="10">
        <v>166067</v>
      </c>
      <c r="E40" s="10">
        <v>1392129</v>
      </c>
      <c r="F40" s="10">
        <f t="shared" si="2"/>
        <v>2464948</v>
      </c>
      <c r="G40" s="134">
        <f t="shared" si="3"/>
        <v>1.0868611291867685</v>
      </c>
    </row>
    <row r="41" spans="2:7">
      <c r="B41" s="124" t="s">
        <v>74</v>
      </c>
      <c r="C41" s="28">
        <v>989384</v>
      </c>
      <c r="D41" s="10">
        <v>178063</v>
      </c>
      <c r="E41" s="10">
        <v>1637136</v>
      </c>
      <c r="F41" s="10">
        <f t="shared" si="2"/>
        <v>2804583</v>
      </c>
      <c r="G41" s="120">
        <f t="shared" si="3"/>
        <v>0.95524224694604032</v>
      </c>
    </row>
    <row r="42" spans="2:7">
      <c r="B42" s="124" t="s">
        <v>75</v>
      </c>
      <c r="C42" s="28">
        <v>939560</v>
      </c>
      <c r="D42" s="10">
        <v>164094</v>
      </c>
      <c r="E42" s="10">
        <v>1587060</v>
      </c>
      <c r="F42" s="10">
        <f t="shared" si="2"/>
        <v>2690714</v>
      </c>
      <c r="G42" s="120">
        <f t="shared" si="3"/>
        <v>0.99566738295733637</v>
      </c>
    </row>
    <row r="43" spans="2:7">
      <c r="B43" s="124" t="s">
        <v>76</v>
      </c>
      <c r="C43" s="28">
        <v>1005005</v>
      </c>
      <c r="D43" s="10">
        <v>178460</v>
      </c>
      <c r="E43" s="10">
        <v>1630421</v>
      </c>
      <c r="F43" s="10">
        <f t="shared" si="2"/>
        <v>2813886</v>
      </c>
      <c r="G43" s="120">
        <f t="shared" si="3"/>
        <v>0.952084116651018</v>
      </c>
    </row>
    <row r="44" spans="2:7">
      <c r="B44" s="124" t="s">
        <v>77</v>
      </c>
      <c r="C44" s="28">
        <v>1071123</v>
      </c>
      <c r="D44" s="10">
        <v>198719</v>
      </c>
      <c r="E44" s="10">
        <v>1723123</v>
      </c>
      <c r="F44" s="10">
        <f t="shared" si="2"/>
        <v>2992965</v>
      </c>
      <c r="G44" s="120">
        <f t="shared" si="3"/>
        <v>0.89511777340084719</v>
      </c>
    </row>
    <row r="45" spans="2:7">
      <c r="B45" s="124" t="s">
        <v>78</v>
      </c>
      <c r="C45" s="28">
        <v>958273</v>
      </c>
      <c r="D45" s="10">
        <v>168295</v>
      </c>
      <c r="E45" s="10">
        <v>1718974</v>
      </c>
      <c r="F45" s="10">
        <f t="shared" si="2"/>
        <v>2845542</v>
      </c>
      <c r="G45" s="120">
        <f t="shared" si="3"/>
        <v>0.94149239992474776</v>
      </c>
    </row>
    <row r="46" spans="2:7">
      <c r="B46" s="124" t="s">
        <v>79</v>
      </c>
      <c r="C46" s="28">
        <v>1016244</v>
      </c>
      <c r="D46" s="10">
        <v>182160</v>
      </c>
      <c r="E46" s="10">
        <v>1780145</v>
      </c>
      <c r="F46" s="10">
        <f t="shared" si="2"/>
        <v>2978549</v>
      </c>
      <c r="G46" s="120">
        <f t="shared" si="3"/>
        <v>0.89945009018373256</v>
      </c>
    </row>
    <row r="47" spans="2:7">
      <c r="B47" s="124" t="s">
        <v>80</v>
      </c>
      <c r="C47" s="28">
        <v>986989</v>
      </c>
      <c r="D47" s="10">
        <v>168246</v>
      </c>
      <c r="E47" s="10">
        <v>1683350</v>
      </c>
      <c r="F47" s="10">
        <f t="shared" si="2"/>
        <v>2838585</v>
      </c>
      <c r="G47" s="120">
        <f t="shared" si="3"/>
        <v>0.94379987446797142</v>
      </c>
    </row>
    <row r="48" spans="2:7" ht="15.75" thickBot="1">
      <c r="B48" s="128" t="s">
        <v>81</v>
      </c>
      <c r="C48" s="30">
        <v>1062856</v>
      </c>
      <c r="D48" s="31">
        <v>178376</v>
      </c>
      <c r="E48" s="31">
        <v>1636844</v>
      </c>
      <c r="F48" s="31">
        <f t="shared" si="2"/>
        <v>2878076</v>
      </c>
      <c r="G48" s="121">
        <f t="shared" si="3"/>
        <v>0.93084969495825209</v>
      </c>
    </row>
    <row r="49" spans="1:14">
      <c r="B49" s="133" t="s">
        <v>82</v>
      </c>
      <c r="C49" s="131">
        <f>SUM(C37:C48)</f>
        <v>11614654</v>
      </c>
      <c r="D49" s="126">
        <f>SUM(D37:D48)</f>
        <v>2098619</v>
      </c>
      <c r="E49" s="126">
        <f>SUM(E37:E48)</f>
        <v>18435401</v>
      </c>
      <c r="F49" s="127">
        <f>SUM(F37:F48)</f>
        <v>32148674</v>
      </c>
      <c r="G49" s="635"/>
    </row>
    <row r="50" spans="1:14" ht="15.75" thickBot="1">
      <c r="B50" s="117" t="s">
        <v>93</v>
      </c>
      <c r="C50" s="132">
        <f>AVERAGE(C37:C48)</f>
        <v>967887.83333333337</v>
      </c>
      <c r="D50" s="129">
        <f>AVERAGE(D37:D48)</f>
        <v>174884.91666666666</v>
      </c>
      <c r="E50" s="129">
        <f>AVERAGE(E37:E48)</f>
        <v>1536283.4166666667</v>
      </c>
      <c r="F50" s="130">
        <f>AVERAGE(F37:F48)</f>
        <v>2679056.1666666665</v>
      </c>
      <c r="G50" s="653"/>
    </row>
    <row r="54" spans="1:14" ht="30">
      <c r="B54" s="99" t="s">
        <v>97</v>
      </c>
      <c r="C54" s="99" t="s">
        <v>83</v>
      </c>
      <c r="D54" s="99" t="s">
        <v>84</v>
      </c>
    </row>
    <row r="55" spans="1:14">
      <c r="A55">
        <v>1</v>
      </c>
      <c r="B55" s="100">
        <v>1951</v>
      </c>
      <c r="C55" s="100">
        <v>3515658</v>
      </c>
      <c r="D55" s="100"/>
      <c r="G55" s="255">
        <v>1</v>
      </c>
      <c r="H55" s="256">
        <v>2008</v>
      </c>
      <c r="I55" s="257">
        <v>18100</v>
      </c>
      <c r="L55" s="259"/>
      <c r="M55" s="258"/>
      <c r="N55" s="159"/>
    </row>
    <row r="56" spans="1:14">
      <c r="A56">
        <v>2</v>
      </c>
      <c r="B56" s="100">
        <v>1952</v>
      </c>
      <c r="C56" s="100">
        <v>3608083</v>
      </c>
      <c r="D56" s="101">
        <v>2.63E-2</v>
      </c>
      <c r="E56" s="222">
        <f>(C56-C55)/C55</f>
        <v>2.6289531006713395E-2</v>
      </c>
      <c r="G56" s="255">
        <v>2</v>
      </c>
      <c r="H56" s="256">
        <v>2009</v>
      </c>
      <c r="I56" s="257">
        <v>20832</v>
      </c>
      <c r="J56" s="222">
        <f>(I56-I55)/I55</f>
        <v>0.15093922651933703</v>
      </c>
      <c r="L56" s="259"/>
      <c r="M56" s="258"/>
      <c r="N56" s="159"/>
    </row>
    <row r="57" spans="1:14">
      <c r="A57">
        <v>3</v>
      </c>
      <c r="B57" s="100">
        <v>1953</v>
      </c>
      <c r="C57" s="100">
        <v>3703572</v>
      </c>
      <c r="D57" s="101">
        <v>2.6499999999999999E-2</v>
      </c>
      <c r="G57" s="255">
        <v>3</v>
      </c>
      <c r="H57" s="256">
        <v>2010</v>
      </c>
      <c r="I57" s="257">
        <v>30482</v>
      </c>
      <c r="L57" s="259"/>
      <c r="M57" s="258"/>
      <c r="N57" s="159"/>
    </row>
    <row r="58" spans="1:14">
      <c r="A58">
        <v>4</v>
      </c>
      <c r="B58" s="100">
        <v>1954</v>
      </c>
      <c r="C58" s="100">
        <v>3802494</v>
      </c>
      <c r="D58" s="101">
        <v>2.6700000000000002E-2</v>
      </c>
      <c r="G58" s="255">
        <v>4</v>
      </c>
      <c r="H58" s="256">
        <v>2011</v>
      </c>
      <c r="I58" s="257">
        <v>33760</v>
      </c>
      <c r="L58" s="259"/>
      <c r="M58" s="258"/>
      <c r="N58" s="159"/>
    </row>
    <row r="59" spans="1:14">
      <c r="A59">
        <v>5</v>
      </c>
      <c r="B59" s="100">
        <v>1955</v>
      </c>
      <c r="C59" s="100">
        <v>3905170</v>
      </c>
      <c r="D59" s="101">
        <v>2.7E-2</v>
      </c>
      <c r="G59" s="255">
        <v>5</v>
      </c>
      <c r="H59" s="256">
        <v>2012</v>
      </c>
      <c r="I59" s="257">
        <v>35295</v>
      </c>
      <c r="L59" s="259"/>
      <c r="M59" s="258"/>
      <c r="N59" s="159"/>
    </row>
    <row r="60" spans="1:14">
      <c r="A60">
        <v>6</v>
      </c>
      <c r="B60" s="100">
        <v>1956</v>
      </c>
      <c r="C60" s="100">
        <v>4011861</v>
      </c>
      <c r="D60" s="101">
        <v>2.7300000000000001E-2</v>
      </c>
      <c r="G60" s="255">
        <v>6</v>
      </c>
      <c r="H60" s="256">
        <v>2013</v>
      </c>
      <c r="I60" s="257">
        <v>40218</v>
      </c>
      <c r="L60" s="259"/>
      <c r="M60" s="258"/>
      <c r="N60" s="159"/>
    </row>
    <row r="61" spans="1:14">
      <c r="A61">
        <v>7</v>
      </c>
      <c r="B61" s="100">
        <v>1957</v>
      </c>
      <c r="C61" s="100">
        <v>4122777</v>
      </c>
      <c r="D61" s="101">
        <v>2.76E-2</v>
      </c>
      <c r="G61" s="255">
        <v>7</v>
      </c>
      <c r="H61" s="256">
        <v>2014</v>
      </c>
      <c r="I61" s="257">
        <v>44488</v>
      </c>
      <c r="L61" s="259"/>
      <c r="M61" s="258"/>
      <c r="N61" s="159"/>
    </row>
    <row r="62" spans="1:14">
      <c r="A62">
        <v>8</v>
      </c>
      <c r="B62" s="100">
        <v>1958</v>
      </c>
      <c r="C62" s="100">
        <v>4238075</v>
      </c>
      <c r="D62" s="101">
        <v>2.8000000000000001E-2</v>
      </c>
      <c r="L62" s="160"/>
      <c r="M62" s="160"/>
      <c r="N62" s="159"/>
    </row>
    <row r="63" spans="1:14">
      <c r="A63">
        <v>9</v>
      </c>
      <c r="B63" s="100">
        <v>1959</v>
      </c>
      <c r="C63" s="100">
        <v>4357864</v>
      </c>
      <c r="D63" s="101">
        <v>2.8299999999999999E-2</v>
      </c>
      <c r="I63" s="255">
        <f>LOGEST(I55:I61,$G$55:$G$61)</f>
        <v>1.1601829736920639</v>
      </c>
      <c r="J63">
        <f>I63-1</f>
        <v>0.16018297369206391</v>
      </c>
      <c r="L63" s="159"/>
      <c r="M63" s="159"/>
      <c r="N63" s="159"/>
    </row>
    <row r="64" spans="1:14">
      <c r="A64">
        <v>10</v>
      </c>
      <c r="B64" s="100">
        <v>1960</v>
      </c>
      <c r="C64" s="100">
        <v>4482220</v>
      </c>
      <c r="D64" s="101">
        <v>2.8500000000000001E-2</v>
      </c>
    </row>
    <row r="65" spans="1:4">
      <c r="A65">
        <v>11</v>
      </c>
      <c r="B65" s="100">
        <v>1961</v>
      </c>
      <c r="C65" s="100">
        <v>4611203</v>
      </c>
      <c r="D65" s="101">
        <v>2.8799999999999999E-2</v>
      </c>
    </row>
    <row r="66" spans="1:4">
      <c r="A66">
        <v>12</v>
      </c>
      <c r="B66" s="100">
        <v>1962</v>
      </c>
      <c r="C66" s="100">
        <v>4744875</v>
      </c>
      <c r="D66" s="101">
        <v>2.9000000000000001E-2</v>
      </c>
    </row>
    <row r="67" spans="1:4">
      <c r="A67">
        <v>13</v>
      </c>
      <c r="B67" s="100">
        <v>1963</v>
      </c>
      <c r="C67" s="100">
        <v>4883314</v>
      </c>
      <c r="D67" s="101">
        <v>2.92E-2</v>
      </c>
    </row>
    <row r="68" spans="1:4">
      <c r="A68">
        <v>14</v>
      </c>
      <c r="B68" s="100">
        <v>1964</v>
      </c>
      <c r="C68" s="100">
        <v>5026603</v>
      </c>
      <c r="D68" s="101">
        <v>2.93E-2</v>
      </c>
    </row>
    <row r="69" spans="1:4">
      <c r="A69">
        <v>15</v>
      </c>
      <c r="B69" s="100">
        <v>1965</v>
      </c>
      <c r="C69" s="100">
        <v>5174795</v>
      </c>
      <c r="D69" s="101">
        <v>2.9499999999999998E-2</v>
      </c>
    </row>
    <row r="70" spans="1:4">
      <c r="A70">
        <v>16</v>
      </c>
      <c r="B70" s="100">
        <v>1966</v>
      </c>
      <c r="C70" s="100">
        <v>5327906</v>
      </c>
      <c r="D70" s="101">
        <v>2.9600000000000001E-2</v>
      </c>
    </row>
    <row r="71" spans="1:4">
      <c r="A71">
        <v>17</v>
      </c>
      <c r="B71" s="100">
        <v>1967</v>
      </c>
      <c r="C71" s="100">
        <v>5485875</v>
      </c>
      <c r="D71" s="101">
        <v>2.9600000000000001E-2</v>
      </c>
    </row>
    <row r="72" spans="1:4">
      <c r="A72">
        <v>18</v>
      </c>
      <c r="B72" s="100">
        <v>1968</v>
      </c>
      <c r="C72" s="100">
        <v>5648483</v>
      </c>
      <c r="D72" s="101">
        <v>2.9600000000000001E-2</v>
      </c>
    </row>
    <row r="73" spans="1:4">
      <c r="A73">
        <v>19</v>
      </c>
      <c r="B73" s="100">
        <v>1969</v>
      </c>
      <c r="C73" s="100">
        <v>5815375</v>
      </c>
      <c r="D73" s="101">
        <v>2.9499999999999998E-2</v>
      </c>
    </row>
    <row r="74" spans="1:4">
      <c r="A74">
        <v>20</v>
      </c>
      <c r="B74" s="100">
        <v>1970</v>
      </c>
      <c r="C74" s="100">
        <v>5986181</v>
      </c>
      <c r="D74" s="101">
        <v>2.9399999999999999E-2</v>
      </c>
    </row>
    <row r="75" spans="1:4">
      <c r="A75">
        <v>21</v>
      </c>
      <c r="B75" s="100">
        <v>1971</v>
      </c>
      <c r="C75" s="100">
        <v>6160676</v>
      </c>
      <c r="D75" s="101">
        <v>2.9100000000000001E-2</v>
      </c>
    </row>
    <row r="76" spans="1:4">
      <c r="A76">
        <v>22</v>
      </c>
      <c r="B76" s="100">
        <v>1972</v>
      </c>
      <c r="C76" s="100">
        <v>6338769</v>
      </c>
      <c r="D76" s="101">
        <v>2.8899999999999999E-2</v>
      </c>
    </row>
    <row r="77" spans="1:4">
      <c r="A77">
        <v>23</v>
      </c>
      <c r="B77" s="100">
        <v>1973</v>
      </c>
      <c r="C77" s="100">
        <v>6520312</v>
      </c>
      <c r="D77" s="101">
        <v>2.86E-2</v>
      </c>
    </row>
    <row r="78" spans="1:4">
      <c r="A78">
        <v>24</v>
      </c>
      <c r="B78" s="100">
        <v>1974</v>
      </c>
      <c r="C78" s="100">
        <v>6705061</v>
      </c>
      <c r="D78" s="101">
        <v>2.8299999999999999E-2</v>
      </c>
    </row>
    <row r="79" spans="1:4">
      <c r="A79">
        <v>25</v>
      </c>
      <c r="B79" s="100">
        <v>1975</v>
      </c>
      <c r="C79" s="100">
        <v>6892799</v>
      </c>
      <c r="D79" s="101">
        <v>2.8000000000000001E-2</v>
      </c>
    </row>
    <row r="80" spans="1:4">
      <c r="A80">
        <v>26</v>
      </c>
      <c r="B80" s="100">
        <v>1976</v>
      </c>
      <c r="C80" s="100">
        <v>7083396</v>
      </c>
      <c r="D80" s="101">
        <v>2.7699999999999999E-2</v>
      </c>
    </row>
    <row r="81" spans="1:4">
      <c r="A81">
        <v>27</v>
      </c>
      <c r="B81" s="100">
        <v>1977</v>
      </c>
      <c r="C81" s="100">
        <v>7276817</v>
      </c>
      <c r="D81" s="101">
        <v>2.7300000000000001E-2</v>
      </c>
    </row>
    <row r="82" spans="1:4">
      <c r="A82">
        <v>28</v>
      </c>
      <c r="B82" s="100">
        <v>1978</v>
      </c>
      <c r="C82" s="100">
        <v>7473094</v>
      </c>
      <c r="D82" s="101">
        <v>2.7E-2</v>
      </c>
    </row>
    <row r="83" spans="1:4">
      <c r="A83">
        <v>29</v>
      </c>
      <c r="B83" s="100">
        <v>1979</v>
      </c>
      <c r="C83" s="100">
        <v>7672303</v>
      </c>
      <c r="D83" s="101">
        <v>2.6700000000000002E-2</v>
      </c>
    </row>
    <row r="84" spans="1:4">
      <c r="A84">
        <v>30</v>
      </c>
      <c r="B84" s="100">
        <v>1980</v>
      </c>
      <c r="C84" s="100">
        <v>7874551</v>
      </c>
      <c r="D84" s="101">
        <v>2.64E-2</v>
      </c>
    </row>
    <row r="85" spans="1:4">
      <c r="A85">
        <v>31</v>
      </c>
      <c r="B85" s="100">
        <v>1981</v>
      </c>
      <c r="C85" s="100">
        <v>8079822</v>
      </c>
      <c r="D85" s="101">
        <v>2.6100000000000002E-2</v>
      </c>
    </row>
    <row r="86" spans="1:4">
      <c r="A86">
        <v>32</v>
      </c>
      <c r="B86" s="100">
        <v>1982</v>
      </c>
      <c r="C86" s="100">
        <v>8288065</v>
      </c>
      <c r="D86" s="101">
        <v>2.58E-2</v>
      </c>
    </row>
    <row r="87" spans="1:4">
      <c r="A87">
        <v>33</v>
      </c>
      <c r="B87" s="100">
        <v>1983</v>
      </c>
      <c r="C87" s="100">
        <v>8499575</v>
      </c>
      <c r="D87" s="101">
        <v>2.5499999999999998E-2</v>
      </c>
    </row>
    <row r="88" spans="1:4">
      <c r="A88">
        <v>34</v>
      </c>
      <c r="B88" s="100">
        <v>1984</v>
      </c>
      <c r="C88" s="100">
        <v>8714980</v>
      </c>
      <c r="D88" s="101">
        <v>2.53E-2</v>
      </c>
    </row>
    <row r="89" spans="1:4">
      <c r="A89">
        <v>35</v>
      </c>
      <c r="B89" s="100">
        <v>1985</v>
      </c>
      <c r="C89" s="100">
        <v>8934862</v>
      </c>
      <c r="D89" s="101">
        <v>2.52E-2</v>
      </c>
    </row>
    <row r="90" spans="1:4">
      <c r="A90">
        <v>36</v>
      </c>
      <c r="B90" s="100">
        <v>1986</v>
      </c>
      <c r="C90" s="100">
        <v>9159441</v>
      </c>
      <c r="D90" s="101">
        <v>2.5100000000000001E-2</v>
      </c>
    </row>
    <row r="91" spans="1:4">
      <c r="A91">
        <v>37</v>
      </c>
      <c r="B91" s="100">
        <v>1987</v>
      </c>
      <c r="C91" s="100">
        <v>9388519</v>
      </c>
      <c r="D91" s="101">
        <v>2.5000000000000001E-2</v>
      </c>
    </row>
    <row r="92" spans="1:4">
      <c r="A92">
        <v>38</v>
      </c>
      <c r="B92" s="100">
        <v>1988</v>
      </c>
      <c r="C92" s="100">
        <v>9621656</v>
      </c>
      <c r="D92" s="101">
        <v>2.4799999999999999E-2</v>
      </c>
    </row>
    <row r="93" spans="1:4">
      <c r="A93">
        <v>39</v>
      </c>
      <c r="B93" s="100">
        <v>1989</v>
      </c>
      <c r="C93" s="100">
        <v>9858280</v>
      </c>
      <c r="D93" s="101">
        <v>2.46E-2</v>
      </c>
    </row>
    <row r="94" spans="1:4">
      <c r="A94">
        <v>40</v>
      </c>
      <c r="B94" s="100">
        <v>1990</v>
      </c>
      <c r="C94" s="100">
        <v>10097733</v>
      </c>
      <c r="D94" s="101">
        <v>2.4299999999999999E-2</v>
      </c>
    </row>
    <row r="95" spans="1:4">
      <c r="A95">
        <v>41</v>
      </c>
      <c r="B95" s="100">
        <v>1991</v>
      </c>
      <c r="C95" s="100">
        <v>10339537</v>
      </c>
      <c r="D95" s="101">
        <v>2.3900000000000001E-2</v>
      </c>
    </row>
    <row r="96" spans="1:4">
      <c r="A96">
        <v>42</v>
      </c>
      <c r="B96" s="100">
        <v>1992</v>
      </c>
      <c r="C96" s="100">
        <v>10583329</v>
      </c>
      <c r="D96" s="101">
        <v>2.3599999999999999E-2</v>
      </c>
    </row>
    <row r="97" spans="1:22">
      <c r="A97">
        <v>43</v>
      </c>
      <c r="B97" s="100">
        <v>1993</v>
      </c>
      <c r="C97" s="100">
        <v>10828435</v>
      </c>
      <c r="D97" s="101">
        <v>2.3199999999999998E-2</v>
      </c>
    </row>
    <row r="98" spans="1:22">
      <c r="A98">
        <v>44</v>
      </c>
      <c r="B98" s="100">
        <v>1994</v>
      </c>
      <c r="C98" s="100">
        <v>11073838</v>
      </c>
      <c r="D98" s="101">
        <v>2.2700000000000001E-2</v>
      </c>
    </row>
    <row r="99" spans="1:22">
      <c r="A99">
        <v>45</v>
      </c>
      <c r="B99" s="100">
        <v>1995</v>
      </c>
      <c r="C99" s="100">
        <v>11318526</v>
      </c>
      <c r="D99" s="101">
        <v>2.2100000000000002E-2</v>
      </c>
    </row>
    <row r="100" spans="1:22">
      <c r="A100">
        <v>46</v>
      </c>
      <c r="B100" s="100">
        <v>1996</v>
      </c>
      <c r="C100" s="100">
        <v>11562028</v>
      </c>
      <c r="D100" s="101">
        <v>2.1499999999999998E-2</v>
      </c>
    </row>
    <row r="101" spans="1:22">
      <c r="A101">
        <v>47</v>
      </c>
      <c r="B101" s="100">
        <v>1997</v>
      </c>
      <c r="C101" s="100">
        <v>11804236</v>
      </c>
      <c r="D101" s="101">
        <v>2.0899999999999998E-2</v>
      </c>
    </row>
    <row r="102" spans="1:22">
      <c r="A102">
        <v>48</v>
      </c>
      <c r="B102" s="100">
        <v>1998</v>
      </c>
      <c r="C102" s="100">
        <v>12044439</v>
      </c>
      <c r="D102" s="101">
        <v>2.0299999999999999E-2</v>
      </c>
    </row>
    <row r="103" spans="1:22">
      <c r="A103">
        <v>49</v>
      </c>
      <c r="B103" s="100">
        <v>1999</v>
      </c>
      <c r="C103" s="100">
        <v>12281289</v>
      </c>
      <c r="D103" s="101">
        <v>1.9699999999999999E-2</v>
      </c>
    </row>
    <row r="104" spans="1:22">
      <c r="A104">
        <v>50</v>
      </c>
      <c r="B104" s="100">
        <v>2000</v>
      </c>
      <c r="C104" s="100">
        <v>12513644</v>
      </c>
      <c r="D104" s="101">
        <v>1.89E-2</v>
      </c>
    </row>
    <row r="105" spans="1:22">
      <c r="A105">
        <v>51</v>
      </c>
      <c r="B105" s="100">
        <v>2001</v>
      </c>
      <c r="C105" s="100">
        <v>12740675</v>
      </c>
      <c r="D105" s="101">
        <v>1.8100000000000002E-2</v>
      </c>
      <c r="S105">
        <v>1</v>
      </c>
      <c r="T105">
        <v>59573</v>
      </c>
      <c r="V105" s="228">
        <f>LOGEST(T105,$S$105)</f>
        <v>1</v>
      </c>
    </row>
    <row r="106" spans="1:22">
      <c r="A106">
        <v>52</v>
      </c>
      <c r="B106" s="100">
        <v>2002</v>
      </c>
      <c r="C106" s="100">
        <v>12962405</v>
      </c>
      <c r="D106" s="101">
        <v>1.7399999999999999E-2</v>
      </c>
      <c r="S106">
        <v>2</v>
      </c>
      <c r="T106">
        <v>60357</v>
      </c>
      <c r="U106" s="101">
        <v>2.6700000000000002E-2</v>
      </c>
      <c r="V106" s="228">
        <f>LOGEST(T105:T106,$S$105:$S$106)</f>
        <v>1.0131603243079921</v>
      </c>
    </row>
    <row r="107" spans="1:22">
      <c r="A107">
        <v>53</v>
      </c>
      <c r="B107" s="100">
        <v>2003</v>
      </c>
      <c r="C107" s="100">
        <v>13180828</v>
      </c>
      <c r="D107" s="101">
        <v>1.6899999999999998E-2</v>
      </c>
      <c r="S107" s="228">
        <v>3</v>
      </c>
      <c r="T107">
        <v>60892</v>
      </c>
      <c r="U107" s="101">
        <v>2.6700000000000002E-2</v>
      </c>
      <c r="V107" s="228">
        <f>LOGEST(T105:T107,$S$105:$S$107)</f>
        <v>1.0110098430569119</v>
      </c>
    </row>
    <row r="108" spans="1:22">
      <c r="A108">
        <v>54</v>
      </c>
      <c r="B108" s="100">
        <v>2004</v>
      </c>
      <c r="C108" s="100">
        <v>13399623</v>
      </c>
      <c r="D108" s="101">
        <v>1.66E-2</v>
      </c>
      <c r="S108" s="228">
        <v>4</v>
      </c>
      <c r="T108">
        <v>61458</v>
      </c>
      <c r="U108" s="101">
        <v>2.6700000000000002E-2</v>
      </c>
      <c r="V108" s="228">
        <f>LOGEST(T105:T108,$S$105:$S$108)</f>
        <v>1.0102804405768835</v>
      </c>
    </row>
    <row r="109" spans="1:22">
      <c r="A109">
        <v>55</v>
      </c>
      <c r="B109" s="100">
        <v>2005</v>
      </c>
      <c r="C109" s="100">
        <v>13622439</v>
      </c>
      <c r="D109" s="101">
        <v>1.66E-2</v>
      </c>
      <c r="S109" s="228">
        <v>5</v>
      </c>
      <c r="T109">
        <v>62100</v>
      </c>
      <c r="U109" s="101">
        <v>2.6700000000000002E-2</v>
      </c>
      <c r="V109" s="228">
        <f t="shared" ref="V109:V114" si="4">LOGEST(T108:T109,$S$105:$S$106)</f>
        <v>1.0104461583520459</v>
      </c>
    </row>
    <row r="110" spans="1:22">
      <c r="A110">
        <v>56</v>
      </c>
      <c r="B110" s="100">
        <v>2006</v>
      </c>
      <c r="C110" s="100">
        <v>13851361</v>
      </c>
      <c r="D110" s="101">
        <v>1.6799999999999999E-2</v>
      </c>
      <c r="S110" s="228">
        <v>6</v>
      </c>
      <c r="T110">
        <v>62808</v>
      </c>
      <c r="U110" s="101">
        <v>2.6700000000000002E-2</v>
      </c>
      <c r="V110" s="228">
        <f t="shared" si="4"/>
        <v>1.0114009661835748</v>
      </c>
    </row>
    <row r="111" spans="1:22">
      <c r="A111">
        <v>57</v>
      </c>
      <c r="B111" s="100">
        <v>2007</v>
      </c>
      <c r="C111" s="100">
        <v>14086485</v>
      </c>
      <c r="D111" s="101">
        <v>1.7000000000000001E-2</v>
      </c>
      <c r="S111" s="228">
        <v>7</v>
      </c>
      <c r="T111">
        <v>63498</v>
      </c>
      <c r="U111" s="101">
        <v>2.6700000000000002E-2</v>
      </c>
      <c r="V111" s="228">
        <f t="shared" si="4"/>
        <v>1.0109858616736713</v>
      </c>
    </row>
    <row r="112" spans="1:22">
      <c r="A112">
        <v>58</v>
      </c>
      <c r="B112" s="100">
        <v>2008</v>
      </c>
      <c r="C112" s="100">
        <v>14326540</v>
      </c>
      <c r="D112" s="101">
        <v>1.7000000000000001E-2</v>
      </c>
      <c r="S112" s="228">
        <v>8</v>
      </c>
      <c r="T112">
        <v>64251</v>
      </c>
      <c r="U112" s="101">
        <v>2.6700000000000002E-2</v>
      </c>
      <c r="V112" s="228">
        <f t="shared" si="4"/>
        <v>1.0118586412170469</v>
      </c>
    </row>
    <row r="113" spans="1:22">
      <c r="A113">
        <v>59</v>
      </c>
      <c r="B113" s="100">
        <v>2009</v>
      </c>
      <c r="C113" s="100">
        <v>14569455</v>
      </c>
      <c r="D113" s="101">
        <v>1.7000000000000001E-2</v>
      </c>
      <c r="S113" s="228">
        <v>9</v>
      </c>
      <c r="T113">
        <v>65045</v>
      </c>
      <c r="U113" s="101">
        <v>2.6700000000000002E-2</v>
      </c>
      <c r="V113" s="228">
        <f t="shared" si="4"/>
        <v>1.0123577843146414</v>
      </c>
    </row>
    <row r="114" spans="1:22">
      <c r="A114">
        <v>60</v>
      </c>
      <c r="B114" s="100">
        <v>2010</v>
      </c>
      <c r="C114" s="100">
        <v>14813001</v>
      </c>
      <c r="D114" s="101">
        <v>1.67E-2</v>
      </c>
      <c r="S114" s="228">
        <v>10</v>
      </c>
      <c r="T114">
        <v>65871</v>
      </c>
      <c r="U114" s="101">
        <v>2.6700000000000002E-2</v>
      </c>
      <c r="V114" s="228">
        <f t="shared" si="4"/>
        <v>1.0126989007610114</v>
      </c>
    </row>
    <row r="115" spans="1:22">
      <c r="A115">
        <v>61</v>
      </c>
      <c r="B115" s="100">
        <v>2011</v>
      </c>
      <c r="C115" s="100">
        <v>15055986</v>
      </c>
      <c r="D115" s="101">
        <v>1.6400000000000001E-2</v>
      </c>
    </row>
    <row r="116" spans="1:22">
      <c r="A116">
        <v>62</v>
      </c>
      <c r="B116" s="100">
        <v>2012</v>
      </c>
      <c r="C116" s="100">
        <v>15298387</v>
      </c>
      <c r="D116" s="101">
        <v>1.61E-2</v>
      </c>
    </row>
    <row r="117" spans="1:22">
      <c r="A117">
        <v>63</v>
      </c>
      <c r="B117" s="100">
        <v>2013</v>
      </c>
      <c r="C117" s="100">
        <v>15540403</v>
      </c>
      <c r="D117" s="101">
        <v>1.5800000000000002E-2</v>
      </c>
    </row>
    <row r="118" spans="1:22">
      <c r="A118">
        <v>64</v>
      </c>
      <c r="B118" s="100">
        <v>2014</v>
      </c>
      <c r="C118" s="100">
        <v>15782114</v>
      </c>
      <c r="D118" s="101">
        <v>1.5599999999999999E-2</v>
      </c>
    </row>
    <row r="119" spans="1:22">
      <c r="A119">
        <v>65</v>
      </c>
      <c r="B119" s="100">
        <v>2015</v>
      </c>
      <c r="C119" s="100">
        <v>16023640</v>
      </c>
      <c r="D119" s="101">
        <v>1.5299999999999999E-2</v>
      </c>
    </row>
    <row r="120" spans="1:22">
      <c r="A120">
        <v>66</v>
      </c>
      <c r="B120" s="100">
        <v>2016</v>
      </c>
      <c r="C120" s="100">
        <v>16272968</v>
      </c>
      <c r="D120" s="101">
        <v>1.5599999999999999E-2</v>
      </c>
    </row>
    <row r="121" spans="1:22">
      <c r="A121">
        <v>67</v>
      </c>
      <c r="B121" s="100">
        <v>2017</v>
      </c>
      <c r="C121" s="100">
        <v>16526175</v>
      </c>
      <c r="D121" s="101">
        <v>1.5599999999999999E-2</v>
      </c>
    </row>
    <row r="123" spans="1:22">
      <c r="C123">
        <f>LOGEST(C55:C121,$A$55:$A$121)</f>
        <v>1.0243870402650423</v>
      </c>
      <c r="D123" s="231">
        <f>C123-1</f>
        <v>2.4387040265042348E-2</v>
      </c>
    </row>
    <row r="125" spans="1:22">
      <c r="C125">
        <v>2010</v>
      </c>
      <c r="D125" s="228">
        <v>2011</v>
      </c>
      <c r="E125" s="228">
        <v>2012</v>
      </c>
      <c r="F125" s="228">
        <v>2013</v>
      </c>
      <c r="G125" s="228">
        <v>2014</v>
      </c>
      <c r="H125" s="228">
        <v>2015</v>
      </c>
      <c r="I125" s="228">
        <v>2016</v>
      </c>
      <c r="J125" s="228">
        <v>2017</v>
      </c>
      <c r="K125" s="228">
        <v>2018</v>
      </c>
      <c r="L125" s="228">
        <v>2019</v>
      </c>
      <c r="M125" s="228">
        <v>2020</v>
      </c>
    </row>
    <row r="126" spans="1:22">
      <c r="B126" s="224" t="s">
        <v>178</v>
      </c>
      <c r="C126" s="224">
        <v>15012228</v>
      </c>
      <c r="D126" s="224">
        <v>15266431</v>
      </c>
      <c r="E126" s="224">
        <v>15520973</v>
      </c>
      <c r="F126" s="224">
        <v>15774749</v>
      </c>
      <c r="G126" s="224">
        <v>16027466</v>
      </c>
      <c r="H126" s="224">
        <v>16278844</v>
      </c>
      <c r="I126" s="224">
        <v>16528730</v>
      </c>
      <c r="J126" s="224">
        <v>16776977</v>
      </c>
      <c r="K126" s="224">
        <v>17023408</v>
      </c>
      <c r="L126" s="224">
        <v>17267986</v>
      </c>
      <c r="M126" s="224">
        <v>17510643</v>
      </c>
      <c r="N126" s="228" t="e">
        <f>LOGEST(C126:M126,$C$143:$M$143)</f>
        <v>#VALUE!</v>
      </c>
      <c r="O126" s="228">
        <f>LOGEST(C126:J126,$C$143:$J$143)</f>
        <v>1.0160093167050721</v>
      </c>
      <c r="P126" s="231">
        <f>O126-1</f>
        <v>1.6009316705072107E-2</v>
      </c>
    </row>
    <row r="127" spans="1:22">
      <c r="B127" s="225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8"/>
      <c r="P127" s="231"/>
    </row>
    <row r="128" spans="1:22">
      <c r="B128" s="224" t="s">
        <v>179</v>
      </c>
      <c r="C128" s="224">
        <v>6692336</v>
      </c>
      <c r="D128" s="224">
        <v>6808224</v>
      </c>
      <c r="E128" s="224">
        <v>6924765</v>
      </c>
      <c r="F128" s="224">
        <v>7041335</v>
      </c>
      <c r="G128" s="224">
        <v>7157782</v>
      </c>
      <c r="H128" s="224">
        <v>7273937</v>
      </c>
      <c r="I128" s="224">
        <v>7389686</v>
      </c>
      <c r="J128" s="224">
        <v>7504942</v>
      </c>
      <c r="K128" s="224">
        <v>7619649</v>
      </c>
      <c r="L128" s="224">
        <v>7733725</v>
      </c>
      <c r="M128" s="224">
        <v>7847136</v>
      </c>
      <c r="N128" s="228" t="e">
        <f>LOGEST(C128:M128,$C$143:$M$143)</f>
        <v>#VALUE!</v>
      </c>
      <c r="O128" s="228">
        <f>LOGEST(C128:J128,$C$143:$J$143)</f>
        <v>1.0165151787962237</v>
      </c>
      <c r="P128" s="231">
        <f>O128-1</f>
        <v>1.6515178796223662E-2</v>
      </c>
    </row>
    <row r="129" spans="2:16">
      <c r="B129" s="225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8"/>
      <c r="P129" s="231"/>
    </row>
    <row r="130" spans="2:16">
      <c r="B130" s="227" t="s">
        <v>180</v>
      </c>
      <c r="C130" s="226">
        <v>739520</v>
      </c>
      <c r="D130" s="226">
        <v>753493</v>
      </c>
      <c r="E130" s="226">
        <v>767695</v>
      </c>
      <c r="F130" s="226">
        <v>781919</v>
      </c>
      <c r="G130" s="226">
        <v>796169</v>
      </c>
      <c r="H130" s="226">
        <v>810412</v>
      </c>
      <c r="I130" s="226">
        <v>824646</v>
      </c>
      <c r="J130" s="226">
        <v>838859</v>
      </c>
      <c r="K130" s="226">
        <v>853070</v>
      </c>
      <c r="L130" s="226">
        <v>867239</v>
      </c>
      <c r="M130" s="226">
        <v>881394</v>
      </c>
      <c r="N130" s="228"/>
      <c r="P130" s="231"/>
    </row>
    <row r="131" spans="2:16">
      <c r="B131" s="227" t="s">
        <v>181</v>
      </c>
      <c r="C131" s="226">
        <v>191631</v>
      </c>
      <c r="D131" s="226">
        <v>193689</v>
      </c>
      <c r="E131" s="226">
        <v>195719</v>
      </c>
      <c r="F131" s="226">
        <v>197708</v>
      </c>
      <c r="G131" s="226">
        <v>199646</v>
      </c>
      <c r="H131" s="226">
        <v>201533</v>
      </c>
      <c r="I131" s="226">
        <v>203344</v>
      </c>
      <c r="J131" s="226">
        <v>205094</v>
      </c>
      <c r="K131" s="226">
        <v>206771</v>
      </c>
      <c r="L131" s="226">
        <v>208384</v>
      </c>
      <c r="M131" s="226">
        <v>209933</v>
      </c>
      <c r="N131" s="228"/>
      <c r="P131" s="231"/>
    </row>
    <row r="132" spans="2:16">
      <c r="B132" s="227" t="s">
        <v>182</v>
      </c>
      <c r="C132" s="226">
        <v>235814</v>
      </c>
      <c r="D132" s="226">
        <v>240248</v>
      </c>
      <c r="E132" s="226">
        <v>244754</v>
      </c>
      <c r="F132" s="226">
        <v>249297</v>
      </c>
      <c r="G132" s="226">
        <v>253863</v>
      </c>
      <c r="H132" s="226">
        <v>258450</v>
      </c>
      <c r="I132" s="226">
        <v>263048</v>
      </c>
      <c r="J132" s="226">
        <v>267643</v>
      </c>
      <c r="K132" s="226">
        <v>272236</v>
      </c>
      <c r="L132" s="226">
        <v>276819</v>
      </c>
      <c r="M132" s="226">
        <v>281396</v>
      </c>
      <c r="N132" s="228"/>
      <c r="P132" s="231"/>
    </row>
    <row r="133" spans="2:16">
      <c r="B133" s="227" t="s">
        <v>183</v>
      </c>
      <c r="C133" s="226">
        <v>171746</v>
      </c>
      <c r="D133" s="226">
        <v>173410</v>
      </c>
      <c r="E133" s="226">
        <v>175050</v>
      </c>
      <c r="F133" s="226">
        <v>176662</v>
      </c>
      <c r="G133" s="226">
        <v>178228</v>
      </c>
      <c r="H133" s="226">
        <v>179768</v>
      </c>
      <c r="I133" s="226">
        <v>181265</v>
      </c>
      <c r="J133" s="226">
        <v>182719</v>
      </c>
      <c r="K133" s="226">
        <v>184136</v>
      </c>
      <c r="L133" s="226">
        <v>185523</v>
      </c>
      <c r="M133" s="226">
        <v>186869</v>
      </c>
      <c r="N133" s="228"/>
      <c r="P133" s="231"/>
    </row>
    <row r="134" spans="2:16">
      <c r="B134" s="227" t="s">
        <v>184</v>
      </c>
      <c r="C134" s="226">
        <v>424663</v>
      </c>
      <c r="D134" s="226">
        <v>431243</v>
      </c>
      <c r="E134" s="226">
        <v>437826</v>
      </c>
      <c r="F134" s="226">
        <v>444398</v>
      </c>
      <c r="G134" s="226">
        <v>450921</v>
      </c>
      <c r="H134" s="226">
        <v>457404</v>
      </c>
      <c r="I134" s="226">
        <v>463819</v>
      </c>
      <c r="J134" s="226">
        <v>470167</v>
      </c>
      <c r="K134" s="226">
        <v>476428</v>
      </c>
      <c r="L134" s="226">
        <v>482615</v>
      </c>
      <c r="M134" s="226">
        <v>488716</v>
      </c>
      <c r="N134" s="228"/>
      <c r="P134" s="231"/>
    </row>
    <row r="135" spans="2:16">
      <c r="B135" s="227" t="s">
        <v>185</v>
      </c>
      <c r="C135" s="226">
        <v>476255</v>
      </c>
      <c r="D135" s="226">
        <v>481498</v>
      </c>
      <c r="E135" s="226">
        <v>486680</v>
      </c>
      <c r="F135" s="226">
        <v>491753</v>
      </c>
      <c r="G135" s="226">
        <v>496735</v>
      </c>
      <c r="H135" s="226">
        <v>501584</v>
      </c>
      <c r="I135" s="226">
        <v>506325</v>
      </c>
      <c r="J135" s="226">
        <v>510935</v>
      </c>
      <c r="K135" s="226">
        <v>515417</v>
      </c>
      <c r="L135" s="226">
        <v>519777</v>
      </c>
      <c r="M135" s="226">
        <v>524004</v>
      </c>
      <c r="N135" s="228"/>
      <c r="P135" s="231"/>
    </row>
    <row r="136" spans="2:16">
      <c r="B136" s="227" t="s">
        <v>186</v>
      </c>
      <c r="C136" s="226">
        <v>413657</v>
      </c>
      <c r="D136" s="226">
        <v>419919</v>
      </c>
      <c r="E136" s="226">
        <v>426223</v>
      </c>
      <c r="F136" s="226">
        <v>432543</v>
      </c>
      <c r="G136" s="226">
        <v>438868</v>
      </c>
      <c r="H136" s="226">
        <v>445175</v>
      </c>
      <c r="I136" s="226">
        <v>451476</v>
      </c>
      <c r="J136" s="226">
        <v>457737</v>
      </c>
      <c r="K136" s="226">
        <v>463957</v>
      </c>
      <c r="L136" s="226">
        <v>470129</v>
      </c>
      <c r="M136" s="226">
        <v>476257</v>
      </c>
      <c r="N136" s="228"/>
      <c r="P136" s="231"/>
    </row>
    <row r="137" spans="2:16">
      <c r="B137" s="227" t="s">
        <v>187</v>
      </c>
      <c r="C137" s="226">
        <v>467671</v>
      </c>
      <c r="D137" s="226">
        <v>473331</v>
      </c>
      <c r="E137" s="226">
        <v>478964</v>
      </c>
      <c r="F137" s="226">
        <v>484529</v>
      </c>
      <c r="G137" s="226">
        <v>490039</v>
      </c>
      <c r="H137" s="226">
        <v>495464</v>
      </c>
      <c r="I137" s="226">
        <v>500794</v>
      </c>
      <c r="J137" s="226">
        <v>506035</v>
      </c>
      <c r="K137" s="226">
        <v>511184</v>
      </c>
      <c r="L137" s="226">
        <v>516231</v>
      </c>
      <c r="M137" s="226">
        <v>521154</v>
      </c>
      <c r="N137" s="228"/>
      <c r="P137" s="231"/>
    </row>
    <row r="138" spans="2:16">
      <c r="B138" s="227" t="s">
        <v>188</v>
      </c>
      <c r="C138" s="226">
        <v>2667953</v>
      </c>
      <c r="D138" s="226">
        <v>2723509</v>
      </c>
      <c r="E138" s="226">
        <v>2779370</v>
      </c>
      <c r="F138" s="226">
        <v>2835373</v>
      </c>
      <c r="G138" s="226">
        <v>2891472</v>
      </c>
      <c r="H138" s="226">
        <v>2947627</v>
      </c>
      <c r="I138" s="226">
        <v>3003799</v>
      </c>
      <c r="J138" s="226">
        <v>3059971</v>
      </c>
      <c r="K138" s="226">
        <v>3116111</v>
      </c>
      <c r="L138" s="226">
        <v>3172200</v>
      </c>
      <c r="M138" s="226">
        <v>3228233</v>
      </c>
      <c r="N138" s="228"/>
      <c r="P138" s="231"/>
    </row>
    <row r="139" spans="2:16">
      <c r="B139" s="227" t="s">
        <v>189</v>
      </c>
      <c r="C139" s="226">
        <v>524048</v>
      </c>
      <c r="D139" s="226">
        <v>530655</v>
      </c>
      <c r="E139" s="226">
        <v>537351</v>
      </c>
      <c r="F139" s="226">
        <v>544090</v>
      </c>
      <c r="G139" s="226">
        <v>550832</v>
      </c>
      <c r="H139" s="226">
        <v>557563</v>
      </c>
      <c r="I139" s="226">
        <v>564260</v>
      </c>
      <c r="J139" s="226">
        <v>570933</v>
      </c>
      <c r="K139" s="226">
        <v>577551</v>
      </c>
      <c r="L139" s="226">
        <v>584114</v>
      </c>
      <c r="M139" s="226">
        <v>590600</v>
      </c>
      <c r="N139" s="228"/>
      <c r="P139" s="231"/>
    </row>
    <row r="140" spans="2:16">
      <c r="B140" s="227" t="s">
        <v>190</v>
      </c>
      <c r="C140" s="226">
        <v>379378</v>
      </c>
      <c r="D140" s="226">
        <v>387229</v>
      </c>
      <c r="E140" s="226">
        <v>395133</v>
      </c>
      <c r="F140" s="226">
        <v>403063</v>
      </c>
      <c r="G140" s="226">
        <v>411009</v>
      </c>
      <c r="H140" s="226">
        <v>418957</v>
      </c>
      <c r="I140" s="226">
        <v>426910</v>
      </c>
      <c r="J140" s="226">
        <v>434849</v>
      </c>
      <c r="K140" s="226">
        <v>442788</v>
      </c>
      <c r="L140" s="226">
        <v>450694</v>
      </c>
      <c r="M140" s="226">
        <v>458580</v>
      </c>
      <c r="N140" s="228"/>
      <c r="P140" s="231"/>
    </row>
    <row r="141" spans="2:16" s="255" customFormat="1">
      <c r="B141" s="353"/>
      <c r="C141" s="354"/>
      <c r="D141" s="354"/>
      <c r="E141" s="354"/>
      <c r="F141" s="354"/>
      <c r="G141" s="354"/>
      <c r="H141" s="354"/>
      <c r="I141" s="354"/>
      <c r="J141" s="354"/>
      <c r="K141" s="354"/>
      <c r="L141" s="354"/>
      <c r="M141" s="354"/>
      <c r="P141" s="231"/>
    </row>
    <row r="142" spans="2:16" s="255" customFormat="1" ht="15.75" thickBot="1">
      <c r="B142" s="353"/>
      <c r="C142" s="354"/>
      <c r="D142" s="354"/>
      <c r="E142" s="354"/>
      <c r="F142" s="354"/>
      <c r="G142" s="354"/>
      <c r="H142" s="354"/>
      <c r="I142" s="354"/>
      <c r="J142" s="354"/>
      <c r="K142" s="354"/>
      <c r="L142" s="354"/>
      <c r="M142" s="354"/>
      <c r="P142" s="231"/>
    </row>
    <row r="143" spans="2:16" s="255" customFormat="1">
      <c r="B143" s="660" t="s">
        <v>221</v>
      </c>
      <c r="C143" s="356">
        <v>1</v>
      </c>
      <c r="D143" s="356">
        <v>2</v>
      </c>
      <c r="E143" s="356">
        <v>3</v>
      </c>
      <c r="F143" s="356">
        <v>4</v>
      </c>
      <c r="G143" s="356">
        <v>5</v>
      </c>
      <c r="H143" s="356">
        <v>6</v>
      </c>
      <c r="I143" s="356">
        <v>7</v>
      </c>
      <c r="J143" s="357">
        <v>8</v>
      </c>
      <c r="K143" s="223"/>
      <c r="L143" s="223"/>
      <c r="M143" s="223"/>
      <c r="P143" s="231"/>
    </row>
    <row r="144" spans="2:16">
      <c r="B144" s="661"/>
      <c r="C144" s="229">
        <v>2010</v>
      </c>
      <c r="D144" s="229">
        <v>2011</v>
      </c>
      <c r="E144" s="229">
        <v>2012</v>
      </c>
      <c r="F144" s="229">
        <v>2013</v>
      </c>
      <c r="G144" s="229">
        <v>2014</v>
      </c>
      <c r="H144" s="229">
        <v>2015</v>
      </c>
      <c r="I144" s="229">
        <v>2016</v>
      </c>
      <c r="J144" s="191">
        <v>2017</v>
      </c>
      <c r="K144" s="255"/>
      <c r="L144" s="255"/>
      <c r="M144" s="255"/>
      <c r="N144" s="228"/>
      <c r="P144" s="231"/>
    </row>
    <row r="145" spans="2:14" ht="15.75" thickBot="1">
      <c r="B145" s="362" t="s">
        <v>191</v>
      </c>
      <c r="C145" s="358">
        <v>73407</v>
      </c>
      <c r="D145" s="358">
        <v>74698</v>
      </c>
      <c r="E145" s="358">
        <v>76003</v>
      </c>
      <c r="F145" s="358">
        <v>77310</v>
      </c>
      <c r="G145" s="358">
        <v>78615</v>
      </c>
      <c r="H145" s="358">
        <v>79917</v>
      </c>
      <c r="I145" s="359">
        <v>81212</v>
      </c>
      <c r="J145" s="360">
        <v>82497</v>
      </c>
      <c r="K145" s="355"/>
      <c r="L145" s="230"/>
      <c r="M145" s="230"/>
      <c r="N145" s="228" t="e">
        <f>LOGEST(C145:M145,$C$143:$M$143)</f>
        <v>#VALUE!</v>
      </c>
    </row>
    <row r="146" spans="2:14">
      <c r="B146" s="166"/>
      <c r="C146" s="166"/>
      <c r="D146" s="166"/>
      <c r="E146" s="166"/>
      <c r="F146" s="166"/>
      <c r="G146" s="166"/>
      <c r="H146" s="166"/>
      <c r="I146" s="88" t="s">
        <v>220</v>
      </c>
      <c r="J146" s="238">
        <f>LOGEST(C145:J145,$C$143:$J$143)</f>
        <v>1.0168382086671275</v>
      </c>
    </row>
    <row r="147" spans="2:14" ht="15.75" thickBot="1">
      <c r="B147" s="166"/>
      <c r="C147" s="166"/>
      <c r="D147" s="166"/>
      <c r="E147" s="166"/>
      <c r="F147" s="166"/>
      <c r="G147" s="166"/>
      <c r="H147" s="166"/>
      <c r="I147" s="91" t="s">
        <v>38</v>
      </c>
      <c r="J147" s="361">
        <f>J146-1</f>
        <v>1.6838208667127486E-2</v>
      </c>
    </row>
    <row r="150" spans="2:14">
      <c r="M150" s="151"/>
    </row>
  </sheetData>
  <mergeCells count="7">
    <mergeCell ref="G49:G50"/>
    <mergeCell ref="C5:E5"/>
    <mergeCell ref="D2:F2"/>
    <mergeCell ref="C6:E6"/>
    <mergeCell ref="B143:B144"/>
    <mergeCell ref="D9:E9"/>
    <mergeCell ref="C12:E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4"/>
  <sheetViews>
    <sheetView topLeftCell="A13" zoomScaleNormal="100" workbookViewId="0">
      <selection activeCell="T28" sqref="B17:T28"/>
    </sheetView>
  </sheetViews>
  <sheetFormatPr baseColWidth="10" defaultRowHeight="15"/>
  <cols>
    <col min="1" max="1" width="9.7109375" customWidth="1"/>
    <col min="2" max="2" width="10.28515625" customWidth="1"/>
    <col min="3" max="3" width="6.28515625" customWidth="1"/>
    <col min="4" max="4" width="6.85546875" customWidth="1"/>
    <col min="5" max="5" width="5.85546875" customWidth="1"/>
    <col min="6" max="6" width="5" customWidth="1"/>
    <col min="7" max="7" width="6.5703125" customWidth="1"/>
    <col min="8" max="8" width="5.28515625" customWidth="1"/>
    <col min="9" max="9" width="5.5703125" customWidth="1"/>
    <col min="10" max="10" width="8.5703125" customWidth="1"/>
    <col min="11" max="11" width="6.140625" customWidth="1"/>
    <col min="12" max="12" width="8.5703125" customWidth="1"/>
    <col min="13" max="13" width="9.28515625" customWidth="1"/>
    <col min="14" max="14" width="10.5703125" customWidth="1"/>
    <col min="15" max="15" width="11.42578125" customWidth="1"/>
    <col min="16" max="16" width="8.85546875" customWidth="1"/>
    <col min="17" max="17" width="8.5703125" customWidth="1"/>
    <col min="18" max="18" width="8.28515625" hidden="1" customWidth="1"/>
    <col min="19" max="19" width="9.140625" customWidth="1"/>
    <col min="21" max="21" width="9.140625" customWidth="1"/>
    <col min="22" max="22" width="11.42578125" customWidth="1"/>
  </cols>
  <sheetData>
    <row r="2" spans="2:32" ht="15.75" thickBot="1">
      <c r="B2" s="10" t="s">
        <v>47</v>
      </c>
      <c r="C2" s="10">
        <v>20</v>
      </c>
      <c r="D2" t="s">
        <v>48</v>
      </c>
    </row>
    <row r="3" spans="2:32" ht="15.75" thickBot="1">
      <c r="B3" s="229" t="s">
        <v>47</v>
      </c>
      <c r="C3" s="229">
        <v>10</v>
      </c>
      <c r="D3" s="255" t="s">
        <v>264</v>
      </c>
      <c r="AA3" s="664" t="s">
        <v>274</v>
      </c>
      <c r="AB3" s="665"/>
      <c r="AC3" s="665"/>
      <c r="AD3" s="665"/>
      <c r="AE3" s="665"/>
      <c r="AF3" s="666"/>
    </row>
    <row r="4" spans="2:32" ht="15.75" thickBot="1">
      <c r="B4" s="59" t="s">
        <v>38</v>
      </c>
      <c r="C4" s="232">
        <f>Factores!J147</f>
        <v>1.6838208667127486E-2</v>
      </c>
      <c r="J4" s="742" t="s">
        <v>219</v>
      </c>
      <c r="K4" s="743"/>
      <c r="L4" s="744"/>
      <c r="M4" s="558" t="s">
        <v>105</v>
      </c>
      <c r="N4" s="746"/>
      <c r="O4" s="349" t="s">
        <v>110</v>
      </c>
      <c r="P4" s="350" t="s">
        <v>106</v>
      </c>
      <c r="AA4" s="530" t="s">
        <v>41</v>
      </c>
      <c r="AB4" s="532" t="s">
        <v>42</v>
      </c>
      <c r="AC4" s="532" t="s">
        <v>8</v>
      </c>
      <c r="AD4" s="662" t="s">
        <v>46</v>
      </c>
      <c r="AE4" s="663"/>
      <c r="AF4" s="531" t="s">
        <v>103</v>
      </c>
    </row>
    <row r="5" spans="2:32">
      <c r="B5" s="10" t="s">
        <v>49</v>
      </c>
      <c r="C5" s="10">
        <v>1</v>
      </c>
      <c r="D5" t="s">
        <v>50</v>
      </c>
      <c r="J5" s="751" t="s">
        <v>109</v>
      </c>
      <c r="K5" s="752"/>
      <c r="L5" s="408">
        <f>ROUND(Factores!C1,3)</f>
        <v>1.252</v>
      </c>
      <c r="M5" s="174" t="s">
        <v>41</v>
      </c>
      <c r="N5" s="25"/>
      <c r="O5" s="25">
        <f>'conteo 1'!D216</f>
        <v>60</v>
      </c>
      <c r="P5" s="18">
        <f>ROUND((O5*$L$9),0)</f>
        <v>89</v>
      </c>
      <c r="AA5" s="527"/>
      <c r="AB5" s="528" t="s">
        <v>34</v>
      </c>
      <c r="AC5" s="528" t="s">
        <v>35</v>
      </c>
      <c r="AD5" s="528" t="s">
        <v>36</v>
      </c>
      <c r="AE5" s="528" t="s">
        <v>102</v>
      </c>
      <c r="AF5" s="529" t="s">
        <v>104</v>
      </c>
    </row>
    <row r="6" spans="2:32" ht="15.75" thickBot="1">
      <c r="B6" s="10" t="s">
        <v>51</v>
      </c>
      <c r="C6" s="10">
        <v>0.5</v>
      </c>
      <c r="D6" t="s">
        <v>52</v>
      </c>
      <c r="J6" s="701" t="s">
        <v>96</v>
      </c>
      <c r="K6" s="702"/>
      <c r="L6" s="71">
        <f>ROUND(Factores!G12,3)</f>
        <v>1.018</v>
      </c>
      <c r="M6" s="189" t="s">
        <v>42</v>
      </c>
      <c r="N6" s="229" t="s">
        <v>34</v>
      </c>
      <c r="O6" s="229">
        <f>'conteo 1'!D217</f>
        <v>2808</v>
      </c>
      <c r="P6" s="191">
        <f t="shared" ref="P5:P10" si="0">ROUND((O6*$L$9),0)</f>
        <v>4167</v>
      </c>
      <c r="AA6" s="523">
        <v>60</v>
      </c>
      <c r="AB6" s="524">
        <v>2808</v>
      </c>
      <c r="AC6" s="525">
        <v>204</v>
      </c>
      <c r="AD6" s="525">
        <v>168</v>
      </c>
      <c r="AE6" s="525">
        <v>36</v>
      </c>
      <c r="AF6" s="526">
        <v>24</v>
      </c>
    </row>
    <row r="7" spans="2:32">
      <c r="B7" s="10" t="s">
        <v>53</v>
      </c>
      <c r="C7" s="233">
        <f>Q29/Q28</f>
        <v>0.12365930599369085</v>
      </c>
      <c r="D7" t="s">
        <v>108</v>
      </c>
      <c r="E7" s="58"/>
      <c r="J7" s="701" t="s">
        <v>85</v>
      </c>
      <c r="K7" s="702"/>
      <c r="L7" s="351">
        <f>ROUND(Factores!E19,3)</f>
        <v>1.071</v>
      </c>
      <c r="M7" s="189" t="s">
        <v>8</v>
      </c>
      <c r="N7" s="229" t="s">
        <v>35</v>
      </c>
      <c r="O7" s="249">
        <f>'conteo 1'!D218</f>
        <v>204</v>
      </c>
      <c r="P7" s="191">
        <f t="shared" si="0"/>
        <v>303</v>
      </c>
      <c r="AA7" s="160"/>
      <c r="AB7" s="522"/>
      <c r="AC7" s="522"/>
      <c r="AD7" s="522"/>
      <c r="AE7" s="159"/>
      <c r="AF7" s="159"/>
    </row>
    <row r="8" spans="2:32">
      <c r="B8" s="10" t="s">
        <v>54</v>
      </c>
      <c r="C8" s="10"/>
      <c r="D8" t="s">
        <v>55</v>
      </c>
      <c r="E8" s="58"/>
      <c r="J8" s="701" t="s">
        <v>94</v>
      </c>
      <c r="K8" s="702"/>
      <c r="L8" s="351">
        <f>ROUND(Factores!G40,3)</f>
        <v>1.087</v>
      </c>
      <c r="M8" s="189" t="s">
        <v>46</v>
      </c>
      <c r="N8" s="229" t="s">
        <v>36</v>
      </c>
      <c r="O8" s="249">
        <f>'conteo 1'!D219</f>
        <v>132</v>
      </c>
      <c r="P8" s="191">
        <f t="shared" si="0"/>
        <v>196</v>
      </c>
      <c r="AA8" s="522"/>
      <c r="AB8" s="160"/>
      <c r="AC8" s="160"/>
      <c r="AD8" s="160"/>
      <c r="AE8" s="159"/>
      <c r="AF8" s="159"/>
    </row>
    <row r="9" spans="2:32" ht="15.75" thickBot="1">
      <c r="B9" s="10" t="s">
        <v>56</v>
      </c>
      <c r="C9" s="10"/>
      <c r="D9" t="s">
        <v>57</v>
      </c>
      <c r="J9" s="703" t="s">
        <v>90</v>
      </c>
      <c r="K9" s="704"/>
      <c r="L9" s="352">
        <f>ROUND((L5*L6*L7*L8),3)</f>
        <v>1.484</v>
      </c>
      <c r="M9" s="189" t="s">
        <v>46</v>
      </c>
      <c r="N9" s="229" t="s">
        <v>102</v>
      </c>
      <c r="O9" s="249">
        <f>'conteo 1'!D220</f>
        <v>36</v>
      </c>
      <c r="P9" s="191">
        <f t="shared" si="0"/>
        <v>53</v>
      </c>
      <c r="AA9" s="159"/>
      <c r="AB9" s="159"/>
      <c r="AC9" s="159"/>
      <c r="AD9" s="159"/>
      <c r="AE9" s="159"/>
      <c r="AF9" s="159"/>
    </row>
    <row r="10" spans="2:32" ht="15.75" thickBot="1">
      <c r="B10" s="60"/>
      <c r="C10" s="61"/>
      <c r="D10" s="62"/>
      <c r="E10" s="63"/>
      <c r="J10" s="745"/>
      <c r="K10" s="745"/>
      <c r="L10" s="745"/>
      <c r="M10" s="140" t="s">
        <v>103</v>
      </c>
      <c r="N10" s="155" t="s">
        <v>104</v>
      </c>
      <c r="O10" s="129">
        <f>'conteo 1'!D221</f>
        <v>24</v>
      </c>
      <c r="P10" s="167">
        <f t="shared" si="0"/>
        <v>36</v>
      </c>
      <c r="AA10" s="522"/>
      <c r="AB10" s="522"/>
      <c r="AC10" s="159"/>
      <c r="AD10" s="159"/>
      <c r="AE10" s="159"/>
      <c r="AF10" s="159"/>
    </row>
    <row r="11" spans="2:32">
      <c r="B11" s="75"/>
      <c r="C11" s="75"/>
      <c r="D11" s="58"/>
      <c r="E11" s="58"/>
      <c r="L11" s="75"/>
      <c r="M11" s="75"/>
      <c r="N11" s="143"/>
      <c r="O11" s="75"/>
      <c r="Q11" s="141"/>
      <c r="R11" s="58"/>
      <c r="S11" s="58"/>
      <c r="AA11" s="522"/>
      <c r="AB11" s="522"/>
      <c r="AC11" s="159"/>
      <c r="AD11" s="159"/>
      <c r="AE11" s="159"/>
      <c r="AF11" s="159"/>
    </row>
    <row r="12" spans="2:32" ht="15.75" thickBot="1">
      <c r="B12" t="s">
        <v>58</v>
      </c>
      <c r="L12" s="75"/>
      <c r="M12" s="75"/>
      <c r="N12" s="143"/>
      <c r="O12" s="75"/>
      <c r="Q12" s="141"/>
      <c r="R12" s="58"/>
      <c r="S12" s="58"/>
    </row>
    <row r="13" spans="2:32">
      <c r="B13" s="88" t="s">
        <v>107</v>
      </c>
      <c r="C13" s="89" t="s">
        <v>59</v>
      </c>
      <c r="D13" s="64" t="s">
        <v>60</v>
      </c>
      <c r="L13" s="75"/>
      <c r="M13" s="75"/>
      <c r="N13" s="143"/>
      <c r="O13" s="75"/>
      <c r="Q13" s="141"/>
      <c r="R13" s="58"/>
      <c r="S13" s="58"/>
    </row>
    <row r="14" spans="2:32">
      <c r="B14" s="90"/>
      <c r="C14" s="57"/>
      <c r="D14" s="65"/>
    </row>
    <row r="15" spans="2:32" ht="15.75" thickBot="1">
      <c r="B15" s="91"/>
      <c r="C15" s="66"/>
      <c r="D15" s="67"/>
    </row>
    <row r="16" spans="2:32" ht="15.75" thickBot="1">
      <c r="U16" s="255">
        <v>10</v>
      </c>
      <c r="W16">
        <v>1</v>
      </c>
    </row>
    <row r="17" spans="2:24" ht="39" thickBot="1">
      <c r="B17" s="707" t="s">
        <v>20</v>
      </c>
      <c r="C17" s="708"/>
      <c r="D17" s="363" t="s">
        <v>21</v>
      </c>
      <c r="E17" s="364" t="s">
        <v>22</v>
      </c>
      <c r="F17" s="364" t="s">
        <v>23</v>
      </c>
      <c r="G17" s="364" t="s">
        <v>24</v>
      </c>
      <c r="H17" s="364" t="s">
        <v>25</v>
      </c>
      <c r="I17" s="364" t="s">
        <v>26</v>
      </c>
      <c r="J17" s="364" t="s">
        <v>27</v>
      </c>
      <c r="K17" s="364" t="s">
        <v>28</v>
      </c>
      <c r="L17" s="364" t="s">
        <v>29</v>
      </c>
      <c r="M17" s="364" t="s">
        <v>30</v>
      </c>
      <c r="N17" s="364" t="s">
        <v>31</v>
      </c>
      <c r="O17" s="365" t="s">
        <v>32</v>
      </c>
      <c r="P17" s="366" t="s">
        <v>33</v>
      </c>
      <c r="Q17" s="395" t="s">
        <v>37</v>
      </c>
      <c r="R17" s="367" t="s">
        <v>38</v>
      </c>
      <c r="S17" s="396" t="s">
        <v>222</v>
      </c>
      <c r="T17" s="397" t="s">
        <v>63</v>
      </c>
      <c r="U17" s="396" t="s">
        <v>261</v>
      </c>
      <c r="V17" s="397" t="s">
        <v>265</v>
      </c>
      <c r="W17" s="396"/>
      <c r="X17" s="397"/>
    </row>
    <row r="18" spans="2:24">
      <c r="B18" s="687" t="s">
        <v>43</v>
      </c>
      <c r="C18" s="713" t="s">
        <v>34</v>
      </c>
      <c r="D18" s="368">
        <v>1.05</v>
      </c>
      <c r="E18" s="369">
        <v>18</v>
      </c>
      <c r="F18" s="369">
        <v>1</v>
      </c>
      <c r="G18" s="370">
        <f t="shared" ref="G18:G27" si="1">D18*2.2</f>
        <v>2.3100000000000005</v>
      </c>
      <c r="H18" s="370">
        <v>1</v>
      </c>
      <c r="I18" s="370">
        <v>2.5</v>
      </c>
      <c r="J18" s="371">
        <f t="shared" ref="J18:J27" si="2">+LOG((4.2-I18)/(4.2-1.5))</f>
        <v>-0.20091484278071337</v>
      </c>
      <c r="K18" s="455">
        <v>3</v>
      </c>
      <c r="L18" s="372">
        <f t="shared" ref="L18:L27" si="3">0.4+((0.081*(G18+H18)^3.23)/((K18+1)^5.19*H18^3.23))</f>
        <v>0.40290294016149603</v>
      </c>
      <c r="M18" s="372">
        <f>0.4+((0.081*(E18+F18)^3.23)/(((K18+1)^5.19)*(F18^3.23)))</f>
        <v>1.2206685583806203</v>
      </c>
      <c r="N18" s="372">
        <f t="shared" ref="N18:N23" si="4">+((E18+F18)/(G18+H18))^4.79*((10^(J18/L18)/10^(J18/M18)))*(H18)^4.33</f>
        <v>2000.6893510937696</v>
      </c>
      <c r="O18" s="373">
        <f t="shared" ref="O18:O27" si="5">1/N18</f>
        <v>4.99827721606707E-4</v>
      </c>
      <c r="P18" s="680">
        <f>SUM(O18:O19)</f>
        <v>1.3083128618414886E-3</v>
      </c>
      <c r="Q18" s="677">
        <f>P6</f>
        <v>4167</v>
      </c>
      <c r="R18" s="682">
        <f>C4</f>
        <v>1.6838208667127486E-2</v>
      </c>
      <c r="S18" s="684">
        <f>+(((1+R18)^$C$2)-1)/LN(1+R18)</f>
        <v>23.744601535152622</v>
      </c>
      <c r="T18" s="749">
        <f>+P18*Q18*S18*$C$5*365*$C$6</f>
        <v>23624.513079706561</v>
      </c>
      <c r="U18" s="667">
        <f>+(((1+R18)^$U$16)-1)/LN(1+R18)</f>
        <v>10.883378060487557</v>
      </c>
      <c r="V18" s="669">
        <f>+P18*Q18*U18*$C$5*365*$C$6</f>
        <v>10828.335314902433</v>
      </c>
      <c r="W18" s="667"/>
      <c r="X18" s="669"/>
    </row>
    <row r="19" spans="2:24" ht="15.75" thickBot="1">
      <c r="B19" s="688"/>
      <c r="C19" s="714"/>
      <c r="D19" s="374">
        <v>1.21</v>
      </c>
      <c r="E19" s="375">
        <v>18</v>
      </c>
      <c r="F19" s="375">
        <v>1</v>
      </c>
      <c r="G19" s="375">
        <f t="shared" si="1"/>
        <v>2.6619999999999999</v>
      </c>
      <c r="H19" s="375">
        <v>1</v>
      </c>
      <c r="I19" s="376">
        <v>2.5</v>
      </c>
      <c r="J19" s="377">
        <f t="shared" si="2"/>
        <v>-0.20091484278071337</v>
      </c>
      <c r="K19" s="456">
        <v>3</v>
      </c>
      <c r="L19" s="378">
        <f t="shared" si="3"/>
        <v>0.40402349903939411</v>
      </c>
      <c r="M19" s="379">
        <f t="shared" ref="M19:M27" si="6">0.4+((0.081*(E19+F19)^3.23)/(((K19+1)^5.19)*(F19^3.23)))</f>
        <v>1.2206685583806203</v>
      </c>
      <c r="N19" s="378">
        <f>+((E19+F19)/(G19+H19))^4.79*((10^(J19/L19)/10^(J19/M19)))*(H19)^4.33</f>
        <v>1236.8811128793327</v>
      </c>
      <c r="O19" s="380">
        <f t="shared" si="5"/>
        <v>8.0848514023478153E-4</v>
      </c>
      <c r="P19" s="715"/>
      <c r="Q19" s="678"/>
      <c r="R19" s="683"/>
      <c r="S19" s="685"/>
      <c r="T19" s="754"/>
      <c r="U19" s="668"/>
      <c r="V19" s="670"/>
      <c r="W19" s="668"/>
      <c r="X19" s="670"/>
    </row>
    <row r="20" spans="2:24">
      <c r="B20" s="687" t="s">
        <v>44</v>
      </c>
      <c r="C20" s="713" t="s">
        <v>61</v>
      </c>
      <c r="D20" s="381">
        <v>7</v>
      </c>
      <c r="E20" s="369">
        <v>18</v>
      </c>
      <c r="F20" s="369">
        <v>1</v>
      </c>
      <c r="G20" s="370">
        <f t="shared" si="1"/>
        <v>15.400000000000002</v>
      </c>
      <c r="H20" s="370">
        <v>1</v>
      </c>
      <c r="I20" s="370">
        <v>2.5</v>
      </c>
      <c r="J20" s="371">
        <f t="shared" si="2"/>
        <v>-0.20091484278071337</v>
      </c>
      <c r="K20" s="455">
        <v>3</v>
      </c>
      <c r="L20" s="372">
        <f t="shared" si="3"/>
        <v>0.91019863585655758</v>
      </c>
      <c r="M20" s="372">
        <f t="shared" si="6"/>
        <v>1.2206685583806203</v>
      </c>
      <c r="N20" s="372">
        <f t="shared" si="4"/>
        <v>1.7782157711340514</v>
      </c>
      <c r="O20" s="373">
        <f t="shared" si="5"/>
        <v>0.56236145029928131</v>
      </c>
      <c r="P20" s="680">
        <f>SUM(O20:O21)</f>
        <v>3.7621258933060373</v>
      </c>
      <c r="Q20" s="677">
        <f>P7</f>
        <v>303</v>
      </c>
      <c r="R20" s="682">
        <f>R18</f>
        <v>1.6838208667127486E-2</v>
      </c>
      <c r="S20" s="684">
        <f>+(((1+R20)^$C$2)-1)/LN(1+R20)</f>
        <v>23.744601535152622</v>
      </c>
      <c r="T20" s="749">
        <f>+P20*Q20*S20*$C$5*365*$C$6</f>
        <v>4939735.6430175938</v>
      </c>
      <c r="U20" s="667">
        <f>+(((1+R20)^$U$16)-1)/LN(1+R20)</f>
        <v>10.883378060487557</v>
      </c>
      <c r="V20" s="669">
        <f>+P20*Q20*U20*$C$5*365*$C$6</f>
        <v>2264136.1423663287</v>
      </c>
      <c r="W20" s="667"/>
      <c r="X20" s="669"/>
    </row>
    <row r="21" spans="2:24" ht="15.75" thickBot="1">
      <c r="B21" s="688"/>
      <c r="C21" s="714"/>
      <c r="D21" s="382">
        <v>11</v>
      </c>
      <c r="E21" s="375">
        <v>18</v>
      </c>
      <c r="F21" s="375">
        <v>1</v>
      </c>
      <c r="G21" s="375">
        <f t="shared" si="1"/>
        <v>24.200000000000003</v>
      </c>
      <c r="H21" s="375">
        <v>1</v>
      </c>
      <c r="I21" s="376">
        <v>2.5</v>
      </c>
      <c r="J21" s="377">
        <f t="shared" si="2"/>
        <v>-0.20091484278071337</v>
      </c>
      <c r="K21" s="456">
        <v>3</v>
      </c>
      <c r="L21" s="378">
        <f t="shared" si="3"/>
        <v>2.4432307247959697</v>
      </c>
      <c r="M21" s="379">
        <f t="shared" si="6"/>
        <v>1.2206685583806203</v>
      </c>
      <c r="N21" s="378">
        <f t="shared" si="4"/>
        <v>0.31252300530607796</v>
      </c>
      <c r="O21" s="380">
        <f t="shared" si="5"/>
        <v>3.1997644430067562</v>
      </c>
      <c r="P21" s="681"/>
      <c r="Q21" s="678"/>
      <c r="R21" s="747"/>
      <c r="S21" s="748"/>
      <c r="T21" s="750"/>
      <c r="U21" s="668"/>
      <c r="V21" s="670"/>
      <c r="W21" s="668"/>
      <c r="X21" s="670"/>
    </row>
    <row r="22" spans="2:24">
      <c r="B22" s="687" t="s">
        <v>224</v>
      </c>
      <c r="C22" s="705" t="s">
        <v>36</v>
      </c>
      <c r="D22" s="381">
        <v>3</v>
      </c>
      <c r="E22" s="369">
        <v>18</v>
      </c>
      <c r="F22" s="369">
        <v>1</v>
      </c>
      <c r="G22" s="370">
        <f t="shared" si="1"/>
        <v>6.6000000000000005</v>
      </c>
      <c r="H22" s="370">
        <v>1</v>
      </c>
      <c r="I22" s="370">
        <v>2.5</v>
      </c>
      <c r="J22" s="371">
        <f t="shared" si="2"/>
        <v>-0.20091484278071337</v>
      </c>
      <c r="K22" s="455">
        <v>3</v>
      </c>
      <c r="L22" s="372">
        <f t="shared" si="3"/>
        <v>0.44254235888466992</v>
      </c>
      <c r="M22" s="372">
        <f t="shared" si="6"/>
        <v>1.2206685583806203</v>
      </c>
      <c r="N22" s="372">
        <f t="shared" si="4"/>
        <v>41.373795068043293</v>
      </c>
      <c r="O22" s="373">
        <f t="shared" si="5"/>
        <v>2.4169888170891773E-2</v>
      </c>
      <c r="P22" s="680">
        <f>SUM(O22:O23)</f>
        <v>0.58653133847017314</v>
      </c>
      <c r="Q22" s="677">
        <f>P8</f>
        <v>196</v>
      </c>
      <c r="R22" s="689">
        <f>R18</f>
        <v>1.6838208667127486E-2</v>
      </c>
      <c r="S22" s="690">
        <f>+(((1+R22)^$C$2)-1)/LN(1+R22)</f>
        <v>23.744601535152622</v>
      </c>
      <c r="T22" s="753">
        <f>+P22*Q22*S22*$C$5*365*$C$6</f>
        <v>498167.10594317742</v>
      </c>
      <c r="U22" s="667">
        <f>+(((1+R22)^$U$16)-1)/LN(1+R22)</f>
        <v>10.883378060487557</v>
      </c>
      <c r="V22" s="669">
        <f>+P22*Q22*U22*$C$5*365*$C$6</f>
        <v>228335.73110300285</v>
      </c>
      <c r="W22" s="667"/>
      <c r="X22" s="669"/>
    </row>
    <row r="23" spans="2:24" ht="15.75" thickBot="1">
      <c r="B23" s="688"/>
      <c r="C23" s="712"/>
      <c r="D23" s="383">
        <v>7</v>
      </c>
      <c r="E23" s="384">
        <v>18</v>
      </c>
      <c r="F23" s="384">
        <v>1</v>
      </c>
      <c r="G23" s="384">
        <f t="shared" si="1"/>
        <v>15.400000000000002</v>
      </c>
      <c r="H23" s="384">
        <v>1</v>
      </c>
      <c r="I23" s="385">
        <v>2.5</v>
      </c>
      <c r="J23" s="386">
        <f t="shared" si="2"/>
        <v>-0.20091484278071337</v>
      </c>
      <c r="K23" s="457">
        <v>3</v>
      </c>
      <c r="L23" s="387">
        <f t="shared" si="3"/>
        <v>0.91019863585655758</v>
      </c>
      <c r="M23" s="379">
        <f t="shared" si="6"/>
        <v>1.2206685583806203</v>
      </c>
      <c r="N23" s="387">
        <f t="shared" si="4"/>
        <v>1.7782157711340514</v>
      </c>
      <c r="O23" s="388">
        <f t="shared" si="5"/>
        <v>0.56236145029928131</v>
      </c>
      <c r="P23" s="686"/>
      <c r="Q23" s="679"/>
      <c r="R23" s="747"/>
      <c r="S23" s="748"/>
      <c r="T23" s="750"/>
      <c r="U23" s="668"/>
      <c r="V23" s="670"/>
      <c r="W23" s="668"/>
      <c r="X23" s="670"/>
    </row>
    <row r="24" spans="2:24">
      <c r="B24" s="688"/>
      <c r="C24" s="705" t="s">
        <v>102</v>
      </c>
      <c r="D24" s="381">
        <v>7</v>
      </c>
      <c r="E24" s="369">
        <v>18</v>
      </c>
      <c r="F24" s="369">
        <v>1</v>
      </c>
      <c r="G24" s="370">
        <f t="shared" si="1"/>
        <v>15.400000000000002</v>
      </c>
      <c r="H24" s="370">
        <v>1</v>
      </c>
      <c r="I24" s="370">
        <v>2.5</v>
      </c>
      <c r="J24" s="371">
        <f t="shared" si="2"/>
        <v>-0.20091484278071337</v>
      </c>
      <c r="K24" s="455">
        <v>3</v>
      </c>
      <c r="L24" s="372">
        <f t="shared" si="3"/>
        <v>0.91019863585655758</v>
      </c>
      <c r="M24" s="372">
        <f t="shared" si="6"/>
        <v>1.2206685583806203</v>
      </c>
      <c r="N24" s="372">
        <f>+((E24+F24)/(G24+H24))^4.79*((10^(J24/L24)/10^(J24/M24)))*(H24)^4.33</f>
        <v>1.7782157711340514</v>
      </c>
      <c r="O24" s="373">
        <f t="shared" si="5"/>
        <v>0.56236145029928131</v>
      </c>
      <c r="P24" s="680">
        <f>SUM(O24:O25)</f>
        <v>3.7621258933060373</v>
      </c>
      <c r="Q24" s="677">
        <f>P9</f>
        <v>53</v>
      </c>
      <c r="R24" s="689">
        <f>R20</f>
        <v>1.6838208667127486E-2</v>
      </c>
      <c r="S24" s="690">
        <f>+(((1+R24)^$C$2)-1)/LN(1+R24)</f>
        <v>23.744601535152622</v>
      </c>
      <c r="T24" s="753">
        <f>+P24*Q24*S24*$C$5*365*$C$6</f>
        <v>864046.16858063522</v>
      </c>
      <c r="U24" s="667">
        <f>+(((1+R24)^$U$16)-1)/LN(1+R24)</f>
        <v>10.883378060487557</v>
      </c>
      <c r="V24" s="669">
        <f>+P24*Q24*U24*$C$5*365*$C$6</f>
        <v>396037.01500137104</v>
      </c>
      <c r="W24" s="667"/>
      <c r="X24" s="669"/>
    </row>
    <row r="25" spans="2:24" ht="15.75" thickBot="1">
      <c r="B25" s="688"/>
      <c r="C25" s="706"/>
      <c r="D25" s="382">
        <v>11</v>
      </c>
      <c r="E25" s="375">
        <v>18</v>
      </c>
      <c r="F25" s="375">
        <v>1</v>
      </c>
      <c r="G25" s="375">
        <f t="shared" si="1"/>
        <v>24.200000000000003</v>
      </c>
      <c r="H25" s="375">
        <v>1</v>
      </c>
      <c r="I25" s="376">
        <v>2.5</v>
      </c>
      <c r="J25" s="377">
        <f t="shared" si="2"/>
        <v>-0.20091484278071337</v>
      </c>
      <c r="K25" s="456">
        <v>3</v>
      </c>
      <c r="L25" s="378">
        <f t="shared" si="3"/>
        <v>2.4432307247959697</v>
      </c>
      <c r="M25" s="379">
        <f t="shared" si="6"/>
        <v>1.2206685583806203</v>
      </c>
      <c r="N25" s="378">
        <f>+((E25+F25)/(G25+H25))^4.79*((10^(J25/L25)/10^(J25/M25)))*(H25)^4.33</f>
        <v>0.31252300530607796</v>
      </c>
      <c r="O25" s="380">
        <f t="shared" si="5"/>
        <v>3.1997644430067562</v>
      </c>
      <c r="P25" s="681"/>
      <c r="Q25" s="678"/>
      <c r="R25" s="683"/>
      <c r="S25" s="685"/>
      <c r="T25" s="750"/>
      <c r="U25" s="668"/>
      <c r="V25" s="670"/>
      <c r="W25" s="668"/>
      <c r="X25" s="670"/>
    </row>
    <row r="26" spans="2:24">
      <c r="B26" s="687" t="s">
        <v>223</v>
      </c>
      <c r="C26" s="710" t="s">
        <v>104</v>
      </c>
      <c r="D26" s="389">
        <v>7</v>
      </c>
      <c r="E26" s="370">
        <v>18</v>
      </c>
      <c r="F26" s="370">
        <v>1</v>
      </c>
      <c r="G26" s="370">
        <f t="shared" si="1"/>
        <v>15.400000000000002</v>
      </c>
      <c r="H26" s="370">
        <v>1</v>
      </c>
      <c r="I26" s="370">
        <v>2.5</v>
      </c>
      <c r="J26" s="371">
        <f t="shared" si="2"/>
        <v>-0.20091484278071337</v>
      </c>
      <c r="K26" s="455">
        <v>3</v>
      </c>
      <c r="L26" s="372">
        <f t="shared" si="3"/>
        <v>0.91019863585655758</v>
      </c>
      <c r="M26" s="372">
        <f t="shared" si="6"/>
        <v>1.2206685583806203</v>
      </c>
      <c r="N26" s="372">
        <f>+((E26+F26)/(G26+H26))^4.79*((10^(J26/L26)/10^(J26/M26)))*(H26)^4.33</f>
        <v>1.7782157711340514</v>
      </c>
      <c r="O26" s="373">
        <f t="shared" si="5"/>
        <v>0.56236145029928131</v>
      </c>
      <c r="P26" s="680">
        <f>SUM(O26:O27)</f>
        <v>44.591010744548157</v>
      </c>
      <c r="Q26" s="677">
        <f>P10</f>
        <v>36</v>
      </c>
      <c r="R26" s="682">
        <f>R22</f>
        <v>1.6838208667127486E-2</v>
      </c>
      <c r="S26" s="684">
        <f>+(((1+R26)^$C$2)-1)/LN(1+R26)</f>
        <v>23.744601535152622</v>
      </c>
      <c r="T26" s="749">
        <f>+P26*Q26*S26*$C$5*365*$C$6</f>
        <v>6956288.2889160644</v>
      </c>
      <c r="U26" s="667">
        <f>+(((1+R26)^$U$16)-1)/LN(1+R26)</f>
        <v>10.883378060487557</v>
      </c>
      <c r="V26" s="669">
        <f>+P26*Q26*U26*$C$5*365*$C$6</f>
        <v>3188426.4401714248</v>
      </c>
      <c r="W26" s="667"/>
      <c r="X26" s="669"/>
    </row>
    <row r="27" spans="2:24" ht="15.75" thickBot="1">
      <c r="B27" s="709"/>
      <c r="C27" s="711"/>
      <c r="D27" s="390">
        <v>20</v>
      </c>
      <c r="E27" s="391">
        <v>18</v>
      </c>
      <c r="F27" s="391">
        <v>1</v>
      </c>
      <c r="G27" s="391">
        <f t="shared" si="1"/>
        <v>44</v>
      </c>
      <c r="H27" s="384">
        <v>1</v>
      </c>
      <c r="I27" s="385">
        <v>2.5</v>
      </c>
      <c r="J27" s="386">
        <f t="shared" si="2"/>
        <v>-0.20091484278071337</v>
      </c>
      <c r="K27" s="457">
        <v>3</v>
      </c>
      <c r="L27" s="387">
        <f t="shared" si="3"/>
        <v>13.69444107321357</v>
      </c>
      <c r="M27" s="392">
        <f t="shared" si="6"/>
        <v>1.2206685583806203</v>
      </c>
      <c r="N27" s="387">
        <f>+((E27+F27)/(G27+H27))^4.79*((10^(J27/L27)/10^(J27/M27)))*(H27)^4.33</f>
        <v>2.2712484167226595E-2</v>
      </c>
      <c r="O27" s="388">
        <f t="shared" si="5"/>
        <v>44.028649294248879</v>
      </c>
      <c r="P27" s="686"/>
      <c r="Q27" s="679"/>
      <c r="R27" s="747"/>
      <c r="S27" s="748"/>
      <c r="T27" s="750"/>
      <c r="U27" s="671"/>
      <c r="V27" s="672"/>
      <c r="W27" s="671"/>
      <c r="X27" s="672"/>
    </row>
    <row r="28" spans="2:24" ht="15" customHeight="1" thickBot="1"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673" t="s">
        <v>39</v>
      </c>
      <c r="P28" s="674"/>
      <c r="Q28" s="394">
        <f>SUM(Q18:Q27)</f>
        <v>4755</v>
      </c>
      <c r="R28" s="393"/>
      <c r="S28" s="393"/>
      <c r="T28" s="482">
        <f>SUM(T18:T27)</f>
        <v>13281861.719537178</v>
      </c>
      <c r="U28" s="393"/>
      <c r="V28" s="482">
        <f>SUM(V18:V27)</f>
        <v>6087763.6639570296</v>
      </c>
      <c r="W28" s="393"/>
      <c r="X28" s="482"/>
    </row>
    <row r="29" spans="2:24" ht="15.75" customHeight="1" thickBot="1">
      <c r="O29" s="675" t="s">
        <v>40</v>
      </c>
      <c r="P29" s="676"/>
      <c r="Q29" s="56">
        <f>SUM(Q20:Q27)</f>
        <v>588</v>
      </c>
      <c r="T29" s="178">
        <f>T28</f>
        <v>13281861.719537178</v>
      </c>
      <c r="U29" s="255"/>
      <c r="V29" s="178">
        <f>V28</f>
        <v>6087763.6639570296</v>
      </c>
      <c r="W29" s="255"/>
      <c r="X29" s="178"/>
    </row>
    <row r="31" spans="2:24" ht="15.75" thickBot="1">
      <c r="U31">
        <v>10</v>
      </c>
    </row>
    <row r="32" spans="2:24" ht="60.75" thickBot="1">
      <c r="B32" s="691" t="s">
        <v>20</v>
      </c>
      <c r="C32" s="692"/>
      <c r="D32" s="92" t="s">
        <v>21</v>
      </c>
      <c r="E32" s="36" t="s">
        <v>22</v>
      </c>
      <c r="F32" s="36" t="s">
        <v>23</v>
      </c>
      <c r="G32" s="36" t="s">
        <v>24</v>
      </c>
      <c r="H32" s="36" t="s">
        <v>25</v>
      </c>
      <c r="I32" s="36" t="s">
        <v>26</v>
      </c>
      <c r="J32" s="36" t="s">
        <v>27</v>
      </c>
      <c r="K32" s="36" t="s">
        <v>28</v>
      </c>
      <c r="L32" s="36" t="s">
        <v>29</v>
      </c>
      <c r="M32" s="36" t="s">
        <v>30</v>
      </c>
      <c r="N32" s="36" t="s">
        <v>31</v>
      </c>
      <c r="O32" s="37" t="s">
        <v>32</v>
      </c>
      <c r="P32" s="38" t="s">
        <v>33</v>
      </c>
      <c r="Q32" s="54" t="s">
        <v>37</v>
      </c>
      <c r="R32" s="73" t="s">
        <v>38</v>
      </c>
      <c r="S32" s="74" t="s">
        <v>62</v>
      </c>
      <c r="T32" s="144" t="s">
        <v>63</v>
      </c>
      <c r="U32" s="74" t="s">
        <v>193</v>
      </c>
      <c r="V32" s="144" t="s">
        <v>265</v>
      </c>
    </row>
    <row r="33" spans="2:22">
      <c r="B33" s="693" t="s">
        <v>43</v>
      </c>
      <c r="C33" s="695" t="s">
        <v>34</v>
      </c>
      <c r="D33" s="146">
        <v>1.05</v>
      </c>
      <c r="E33" s="152">
        <v>18</v>
      </c>
      <c r="F33" s="152">
        <v>1</v>
      </c>
      <c r="G33" s="39">
        <f>D33*2.2</f>
        <v>2.3100000000000005</v>
      </c>
      <c r="H33" s="39">
        <v>1</v>
      </c>
      <c r="I33" s="39">
        <v>2.5</v>
      </c>
      <c r="J33" s="40">
        <f>+LOG((4.2-I33)/(4.2-1.5))</f>
        <v>-0.20091484278071337</v>
      </c>
      <c r="K33" s="211">
        <f>etapas!D16</f>
        <v>4.0961399430059124</v>
      </c>
      <c r="L33" s="41">
        <f>0.4+((0.081*(G33+H33)^3.23)/((K33+1)^5.19*H33^3.23))</f>
        <v>0.4008259368742258</v>
      </c>
      <c r="M33" s="41">
        <f>0.4+((0.081*(E33+F33)^3.23)/((K33+1)^5.19*F33^3.23))</f>
        <v>0.63349445258112458</v>
      </c>
      <c r="N33" s="41">
        <f>+((E33+F33)/(G33+H33))^4.79*((10^(J33/L33)/10^(J33/M33)))*(H33)^4.33</f>
        <v>2825.8872943951342</v>
      </c>
      <c r="O33" s="42">
        <f>1/N33</f>
        <v>3.5387115472842827E-4</v>
      </c>
      <c r="P33" s="697">
        <f>SUM(O33:O34)</f>
        <v>9.2756678313200369E-4</v>
      </c>
      <c r="Q33" s="699">
        <f>Q18</f>
        <v>4167</v>
      </c>
      <c r="R33" s="725">
        <f>R18</f>
        <v>1.6838208667127486E-2</v>
      </c>
      <c r="S33" s="733">
        <f>+(((1+R33)^$C$2)-1)/LN(1+R33)</f>
        <v>23.744601535152622</v>
      </c>
      <c r="T33" s="738">
        <f>+P33*Q33*S33*$C$5*365*$C$6</f>
        <v>16749.291579660639</v>
      </c>
      <c r="U33" s="733">
        <f>+(((1+R33)^$U$31)-1)/LN(1+R33)</f>
        <v>10.883378060487557</v>
      </c>
      <c r="V33" s="669">
        <f>+P33*Q33*U33*$C$5*365*$C$6</f>
        <v>7677.0659737927608</v>
      </c>
    </row>
    <row r="34" spans="2:22" ht="15.75" thickBot="1">
      <c r="B34" s="694"/>
      <c r="C34" s="696"/>
      <c r="D34" s="147">
        <v>1.21</v>
      </c>
      <c r="E34" s="31">
        <v>18</v>
      </c>
      <c r="F34" s="31">
        <v>1</v>
      </c>
      <c r="G34" s="31">
        <f>D34*2.2</f>
        <v>2.6619999999999999</v>
      </c>
      <c r="H34" s="31">
        <v>1</v>
      </c>
      <c r="I34" s="43">
        <v>2.5</v>
      </c>
      <c r="J34" s="44">
        <f>+LOG((4.2-I34)/(4.2-1.5))</f>
        <v>-0.20091484278071337</v>
      </c>
      <c r="K34" s="212">
        <f>K33</f>
        <v>4.0961399430059124</v>
      </c>
      <c r="L34" s="45">
        <f t="shared" ref="L34:L41" si="7">0.4+((0.081*(G34+H34)^3.23)/((K34+1)^5.19*H34^3.23))</f>
        <v>0.40114475532914018</v>
      </c>
      <c r="M34" s="45">
        <f>0.4+((0.081*(E34+F34)^3.23)/((K34+1)^5.19*F34^3.23))</f>
        <v>0.63349445258112458</v>
      </c>
      <c r="N34" s="45">
        <f>+((E34+F34)/(G34+H34))^4.79*((10^(J34/L34)/10^(J34/M34)))*(H34)^4.33</f>
        <v>1743.0845739276469</v>
      </c>
      <c r="O34" s="46">
        <f>1/N34</f>
        <v>5.7369562840357542E-4</v>
      </c>
      <c r="P34" s="698"/>
      <c r="Q34" s="700"/>
      <c r="R34" s="721"/>
      <c r="S34" s="734"/>
      <c r="T34" s="737"/>
      <c r="U34" s="734"/>
      <c r="V34" s="670"/>
    </row>
    <row r="35" spans="2:22">
      <c r="B35" s="693" t="s">
        <v>44</v>
      </c>
      <c r="C35" s="695" t="s">
        <v>61</v>
      </c>
      <c r="D35" s="122">
        <v>7</v>
      </c>
      <c r="E35" s="152">
        <v>18</v>
      </c>
      <c r="F35" s="152">
        <v>1</v>
      </c>
      <c r="G35" s="39">
        <f t="shared" ref="G35:G42" si="8">D35*2.2</f>
        <v>15.400000000000002</v>
      </c>
      <c r="H35" s="39">
        <v>1</v>
      </c>
      <c r="I35" s="39">
        <v>2.5</v>
      </c>
      <c r="J35" s="40">
        <f t="shared" ref="J35:J42" si="9">+LOG((4.2-I35)/(4.2-1.5))</f>
        <v>-0.20091484278071337</v>
      </c>
      <c r="K35" s="219">
        <f t="shared" ref="K35:K42" si="10">K34</f>
        <v>4.0961399430059124</v>
      </c>
      <c r="L35" s="41">
        <f t="shared" si="7"/>
        <v>0.54516036951876545</v>
      </c>
      <c r="M35" s="41">
        <f t="shared" ref="M35:M42" si="11">0.4+((0.081*(E35+F35)^3.23)/((K35+1)^5.19*F35^3.23))</f>
        <v>0.63349445258112458</v>
      </c>
      <c r="N35" s="41">
        <f t="shared" ref="N35:N42" si="12">+((E35+F35)/(G35+H35))^4.79*((10^(J35/L35)/10^(J35/M35)))*(H35)^4.33</f>
        <v>1.7977874877415327</v>
      </c>
      <c r="O35" s="42">
        <f t="shared" ref="O35:O42" si="13">1/N35</f>
        <v>0.55623927011320351</v>
      </c>
      <c r="P35" s="697">
        <f>SUM(O35:O36)</f>
        <v>3.5420473451352246</v>
      </c>
      <c r="Q35" s="699">
        <f>Q20</f>
        <v>303</v>
      </c>
      <c r="R35" s="725">
        <f>R33</f>
        <v>1.6838208667127486E-2</v>
      </c>
      <c r="S35" s="733">
        <f>+(((1+R35)^$C$2)-1)/LN(1+R35)</f>
        <v>23.744601535152622</v>
      </c>
      <c r="T35" s="738">
        <f>+P35*Q35*S35*$C$5*365*$C$6</f>
        <v>4650768.7451800536</v>
      </c>
      <c r="U35" s="733">
        <f>+(((1+R35)^$U$31)-1)/LN(1+R35)</f>
        <v>10.883378060487557</v>
      </c>
      <c r="V35" s="669">
        <f>+P35*Q35*U35*$C$5*365*$C$6</f>
        <v>2131687.6785975727</v>
      </c>
    </row>
    <row r="36" spans="2:22" ht="15.75" thickBot="1">
      <c r="B36" s="727"/>
      <c r="C36" s="741"/>
      <c r="D36" s="148">
        <v>11</v>
      </c>
      <c r="E36" s="155">
        <v>18</v>
      </c>
      <c r="F36" s="155">
        <v>1</v>
      </c>
      <c r="G36" s="155">
        <f t="shared" si="8"/>
        <v>24.200000000000003</v>
      </c>
      <c r="H36" s="155">
        <v>1</v>
      </c>
      <c r="I36" s="47">
        <v>2.5</v>
      </c>
      <c r="J36" s="48">
        <f t="shared" si="9"/>
        <v>-0.20091484278071337</v>
      </c>
      <c r="K36" s="220">
        <f t="shared" si="10"/>
        <v>4.0961399430059124</v>
      </c>
      <c r="L36" s="49">
        <f t="shared" si="7"/>
        <v>0.98133461396957966</v>
      </c>
      <c r="M36" s="49">
        <f t="shared" si="11"/>
        <v>0.63349445258112458</v>
      </c>
      <c r="N36" s="49">
        <f t="shared" si="12"/>
        <v>0.33491770899997475</v>
      </c>
      <c r="O36" s="50">
        <f t="shared" si="13"/>
        <v>2.9858080750220211</v>
      </c>
      <c r="P36" s="724"/>
      <c r="Q36" s="700"/>
      <c r="R36" s="726"/>
      <c r="S36" s="740"/>
      <c r="T36" s="739"/>
      <c r="U36" s="734"/>
      <c r="V36" s="670"/>
    </row>
    <row r="37" spans="2:22">
      <c r="B37" s="694" t="s">
        <v>45</v>
      </c>
      <c r="C37" s="716" t="s">
        <v>36</v>
      </c>
      <c r="D37" s="213">
        <v>3</v>
      </c>
      <c r="E37" s="25">
        <v>18</v>
      </c>
      <c r="F37" s="25">
        <v>1</v>
      </c>
      <c r="G37" s="214">
        <f t="shared" si="8"/>
        <v>6.6000000000000005</v>
      </c>
      <c r="H37" s="214">
        <v>1</v>
      </c>
      <c r="I37" s="214">
        <v>2.5</v>
      </c>
      <c r="J37" s="215">
        <f t="shared" si="9"/>
        <v>-0.20091484278071337</v>
      </c>
      <c r="K37" s="216">
        <f t="shared" si="10"/>
        <v>4.0961399430059124</v>
      </c>
      <c r="L37" s="217">
        <f t="shared" si="7"/>
        <v>0.41210403968550569</v>
      </c>
      <c r="M37" s="217">
        <f t="shared" si="11"/>
        <v>0.63349445258112458</v>
      </c>
      <c r="N37" s="217">
        <f t="shared" si="12"/>
        <v>54.419136823991117</v>
      </c>
      <c r="O37" s="218">
        <f t="shared" si="13"/>
        <v>1.8375888673764152E-2</v>
      </c>
      <c r="P37" s="718">
        <f>SUM(O37:O38)</f>
        <v>0.57461515878696767</v>
      </c>
      <c r="Q37" s="699">
        <f>Q22</f>
        <v>196</v>
      </c>
      <c r="R37" s="720">
        <f>R33</f>
        <v>1.6838208667127486E-2</v>
      </c>
      <c r="S37" s="735">
        <f>+(((1+R37)^$C$2)-1)/LN(1+R37)</f>
        <v>23.744601535152622</v>
      </c>
      <c r="T37" s="736">
        <f>+P37*Q37*S37*$C$5*365*$C$6</f>
        <v>488046.16549664538</v>
      </c>
      <c r="U37" s="733">
        <f>+(((1+R37)^$U$31)-1)/LN(1+R37)</f>
        <v>10.883378060487557</v>
      </c>
      <c r="V37" s="669">
        <f>+P37*Q37*U37*$C$5*365*$C$6</f>
        <v>223696.7810223196</v>
      </c>
    </row>
    <row r="38" spans="2:22" ht="15.75" thickBot="1">
      <c r="B38" s="694"/>
      <c r="C38" s="717"/>
      <c r="D38" s="30">
        <v>7</v>
      </c>
      <c r="E38" s="31">
        <v>18</v>
      </c>
      <c r="F38" s="31">
        <v>1</v>
      </c>
      <c r="G38" s="31">
        <f t="shared" si="8"/>
        <v>15.400000000000002</v>
      </c>
      <c r="H38" s="31">
        <v>1</v>
      </c>
      <c r="I38" s="43">
        <v>2.5</v>
      </c>
      <c r="J38" s="44">
        <f t="shared" si="9"/>
        <v>-0.20091484278071337</v>
      </c>
      <c r="K38" s="212">
        <f t="shared" si="10"/>
        <v>4.0961399430059124</v>
      </c>
      <c r="L38" s="45">
        <f t="shared" si="7"/>
        <v>0.54516036951876545</v>
      </c>
      <c r="M38" s="45">
        <f t="shared" si="11"/>
        <v>0.63349445258112458</v>
      </c>
      <c r="N38" s="45">
        <f t="shared" si="12"/>
        <v>1.7977874877415327</v>
      </c>
      <c r="O38" s="46">
        <f t="shared" si="13"/>
        <v>0.55623927011320351</v>
      </c>
      <c r="P38" s="719"/>
      <c r="Q38" s="700"/>
      <c r="R38" s="721"/>
      <c r="S38" s="734"/>
      <c r="T38" s="737"/>
      <c r="U38" s="734"/>
      <c r="V38" s="670"/>
    </row>
    <row r="39" spans="2:22">
      <c r="B39" s="694"/>
      <c r="C39" s="722" t="s">
        <v>102</v>
      </c>
      <c r="D39" s="122">
        <v>7</v>
      </c>
      <c r="E39" s="152">
        <v>18</v>
      </c>
      <c r="F39" s="152">
        <v>1</v>
      </c>
      <c r="G39" s="39">
        <f t="shared" si="8"/>
        <v>15.400000000000002</v>
      </c>
      <c r="H39" s="39">
        <v>1</v>
      </c>
      <c r="I39" s="39">
        <v>2.5</v>
      </c>
      <c r="J39" s="40">
        <f t="shared" si="9"/>
        <v>-0.20091484278071337</v>
      </c>
      <c r="K39" s="219">
        <f t="shared" si="10"/>
        <v>4.0961399430059124</v>
      </c>
      <c r="L39" s="41">
        <f t="shared" si="7"/>
        <v>0.54516036951876545</v>
      </c>
      <c r="M39" s="41">
        <f t="shared" si="11"/>
        <v>0.63349445258112458</v>
      </c>
      <c r="N39" s="41">
        <f t="shared" si="12"/>
        <v>1.7977874877415327</v>
      </c>
      <c r="O39" s="42">
        <f t="shared" si="13"/>
        <v>0.55623927011320351</v>
      </c>
      <c r="P39" s="697">
        <f>SUM(O39:O40)</f>
        <v>3.5420473451352246</v>
      </c>
      <c r="Q39" s="699">
        <f>Q24</f>
        <v>53</v>
      </c>
      <c r="R39" s="725">
        <f>R35</f>
        <v>1.6838208667127486E-2</v>
      </c>
      <c r="S39" s="733">
        <f>+(((1+R39)^$C$2)-1)/LN(1+R39)</f>
        <v>23.744601535152622</v>
      </c>
      <c r="T39" s="738">
        <f>+P39*Q39*S39*$C$5*365*$C$6</f>
        <v>813500.8036123527</v>
      </c>
      <c r="U39" s="733">
        <f>+(((1+R39)^$U$31)-1)/LN(1+R39)</f>
        <v>10.883378060487557</v>
      </c>
      <c r="V39" s="669">
        <f>+P39*Q39*U39*$C$5*365*$C$6</f>
        <v>372869.46193290869</v>
      </c>
    </row>
    <row r="40" spans="2:22" ht="15.75" thickBot="1">
      <c r="B40" s="694"/>
      <c r="C40" s="723"/>
      <c r="D40" s="190">
        <v>11</v>
      </c>
      <c r="E40" s="155">
        <v>18</v>
      </c>
      <c r="F40" s="155">
        <v>1</v>
      </c>
      <c r="G40" s="155">
        <f>D40*2.2</f>
        <v>24.200000000000003</v>
      </c>
      <c r="H40" s="155">
        <v>1</v>
      </c>
      <c r="I40" s="47">
        <v>2.5</v>
      </c>
      <c r="J40" s="48">
        <f t="shared" si="9"/>
        <v>-0.20091484278071337</v>
      </c>
      <c r="K40" s="220">
        <f t="shared" si="10"/>
        <v>4.0961399430059124</v>
      </c>
      <c r="L40" s="49">
        <f t="shared" si="7"/>
        <v>0.98133461396957966</v>
      </c>
      <c r="M40" s="49">
        <f t="shared" si="11"/>
        <v>0.63349445258112458</v>
      </c>
      <c r="N40" s="49">
        <f t="shared" si="12"/>
        <v>0.33491770899997475</v>
      </c>
      <c r="O40" s="50">
        <f t="shared" si="13"/>
        <v>2.9858080750220211</v>
      </c>
      <c r="P40" s="724"/>
      <c r="Q40" s="700"/>
      <c r="R40" s="726"/>
      <c r="S40" s="740"/>
      <c r="T40" s="739"/>
      <c r="U40" s="734"/>
      <c r="V40" s="670"/>
    </row>
    <row r="41" spans="2:22">
      <c r="B41" s="693" t="s">
        <v>111</v>
      </c>
      <c r="C41" s="728" t="s">
        <v>104</v>
      </c>
      <c r="D41" s="210">
        <v>7</v>
      </c>
      <c r="E41" s="39">
        <v>18</v>
      </c>
      <c r="F41" s="39">
        <v>1</v>
      </c>
      <c r="G41" s="39">
        <f t="shared" si="8"/>
        <v>15.400000000000002</v>
      </c>
      <c r="H41" s="39">
        <v>1</v>
      </c>
      <c r="I41" s="39">
        <v>2.5</v>
      </c>
      <c r="J41" s="40">
        <f t="shared" si="9"/>
        <v>-0.20091484278071337</v>
      </c>
      <c r="K41" s="219">
        <f t="shared" si="10"/>
        <v>4.0961399430059124</v>
      </c>
      <c r="L41" s="41">
        <f t="shared" si="7"/>
        <v>0.54516036951876545</v>
      </c>
      <c r="M41" s="41">
        <f t="shared" si="11"/>
        <v>0.63349445258112458</v>
      </c>
      <c r="N41" s="41">
        <f t="shared" si="12"/>
        <v>1.7977874877415327</v>
      </c>
      <c r="O41" s="42">
        <f t="shared" si="13"/>
        <v>0.55623927011320351</v>
      </c>
      <c r="P41" s="697">
        <f>SUM(O41:O42)</f>
        <v>34.017472516863911</v>
      </c>
      <c r="Q41" s="699">
        <f>Q26</f>
        <v>36</v>
      </c>
      <c r="R41" s="725">
        <f>R37</f>
        <v>1.6838208667127486E-2</v>
      </c>
      <c r="S41" s="733">
        <f>+(((1+R41)^$C$2)-1)/LN(1+R41)</f>
        <v>23.744601535152622</v>
      </c>
      <c r="T41" s="738">
        <f>+P41*Q41*S41*$C$5*365*$C$6</f>
        <v>5306794.8390588192</v>
      </c>
      <c r="U41" s="733">
        <f>+(((1+R41)^$U$31)-1)/LN(1+R41)</f>
        <v>10.883378060487557</v>
      </c>
      <c r="V41" s="669">
        <f>+P41*Q41*U41*$C$5*365*$C$6</f>
        <v>2432378.3423957173</v>
      </c>
    </row>
    <row r="42" spans="2:22" ht="15.75" thickBot="1">
      <c r="B42" s="727"/>
      <c r="C42" s="729"/>
      <c r="D42" s="180">
        <v>20</v>
      </c>
      <c r="E42" s="145">
        <v>18</v>
      </c>
      <c r="F42" s="145">
        <v>1</v>
      </c>
      <c r="G42" s="145">
        <f t="shared" si="8"/>
        <v>44</v>
      </c>
      <c r="H42" s="155">
        <v>1</v>
      </c>
      <c r="I42" s="47">
        <v>2.5</v>
      </c>
      <c r="J42" s="48">
        <f t="shared" si="9"/>
        <v>-0.20091484278071337</v>
      </c>
      <c r="K42" s="220">
        <f t="shared" si="10"/>
        <v>4.0961399430059124</v>
      </c>
      <c r="L42" s="49">
        <f>0.4+((0.081*(G42+H42)^3.23)/((K42+1)^5.19*H42^3.23))</f>
        <v>4.1824992916596226</v>
      </c>
      <c r="M42" s="49">
        <f t="shared" si="11"/>
        <v>0.63349445258112458</v>
      </c>
      <c r="N42" s="49">
        <f t="shared" si="12"/>
        <v>2.9885330066162646E-2</v>
      </c>
      <c r="O42" s="50">
        <f t="shared" si="13"/>
        <v>33.461233246750709</v>
      </c>
      <c r="P42" s="724"/>
      <c r="Q42" s="730"/>
      <c r="R42" s="726"/>
      <c r="S42" s="740"/>
      <c r="T42" s="739"/>
      <c r="U42" s="740"/>
      <c r="V42" s="672"/>
    </row>
    <row r="43" spans="2:22" ht="15.75" thickBot="1"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731" t="s">
        <v>39</v>
      </c>
      <c r="P43" s="732"/>
      <c r="Q43" s="55">
        <f>SUM(Q33:Q42)</f>
        <v>4755</v>
      </c>
      <c r="R43" s="150"/>
      <c r="S43" s="150"/>
      <c r="T43" s="221">
        <f>SUM(T33:T42)</f>
        <v>11275859.844927531</v>
      </c>
      <c r="U43" s="228"/>
      <c r="V43" s="221">
        <f>SUM(V33:V42)</f>
        <v>5168309.329922311</v>
      </c>
    </row>
    <row r="44" spans="2:22" ht="15.75" thickBot="1"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675" t="s">
        <v>40</v>
      </c>
      <c r="P44" s="676"/>
      <c r="Q44" s="56">
        <f>SUM(Q35:Q42)</f>
        <v>588</v>
      </c>
      <c r="R44" s="150"/>
      <c r="S44" s="150"/>
      <c r="T44" s="178">
        <f>T43</f>
        <v>11275859.844927531</v>
      </c>
      <c r="V44" s="178">
        <f>V43</f>
        <v>5168309.329922311</v>
      </c>
    </row>
  </sheetData>
  <mergeCells count="114">
    <mergeCell ref="J4:L4"/>
    <mergeCell ref="J10:L10"/>
    <mergeCell ref="M4:N4"/>
    <mergeCell ref="V39:V40"/>
    <mergeCell ref="U41:U42"/>
    <mergeCell ref="V41:V42"/>
    <mergeCell ref="V33:V34"/>
    <mergeCell ref="U35:U36"/>
    <mergeCell ref="V35:V36"/>
    <mergeCell ref="U37:U38"/>
    <mergeCell ref="V37:V38"/>
    <mergeCell ref="T41:T42"/>
    <mergeCell ref="R26:R27"/>
    <mergeCell ref="S26:S27"/>
    <mergeCell ref="T26:T27"/>
    <mergeCell ref="J5:K5"/>
    <mergeCell ref="T24:T25"/>
    <mergeCell ref="T18:T19"/>
    <mergeCell ref="R20:R21"/>
    <mergeCell ref="R22:R23"/>
    <mergeCell ref="S20:S21"/>
    <mergeCell ref="T20:T21"/>
    <mergeCell ref="S22:S23"/>
    <mergeCell ref="T22:T23"/>
    <mergeCell ref="B41:B42"/>
    <mergeCell ref="C41:C42"/>
    <mergeCell ref="P41:P42"/>
    <mergeCell ref="Q41:Q42"/>
    <mergeCell ref="R41:R42"/>
    <mergeCell ref="O43:P43"/>
    <mergeCell ref="O44:P44"/>
    <mergeCell ref="U33:U34"/>
    <mergeCell ref="U39:U40"/>
    <mergeCell ref="S37:S38"/>
    <mergeCell ref="T37:T38"/>
    <mergeCell ref="T39:T40"/>
    <mergeCell ref="R33:R34"/>
    <mergeCell ref="S33:S34"/>
    <mergeCell ref="T33:T34"/>
    <mergeCell ref="S35:S36"/>
    <mergeCell ref="T35:T36"/>
    <mergeCell ref="S39:S40"/>
    <mergeCell ref="S41:S42"/>
    <mergeCell ref="B35:B36"/>
    <mergeCell ref="C35:C36"/>
    <mergeCell ref="P35:P36"/>
    <mergeCell ref="Q35:Q36"/>
    <mergeCell ref="R35:R36"/>
    <mergeCell ref="B37:B40"/>
    <mergeCell ref="C37:C38"/>
    <mergeCell ref="P37:P38"/>
    <mergeCell ref="Q37:Q38"/>
    <mergeCell ref="R37:R38"/>
    <mergeCell ref="C39:C40"/>
    <mergeCell ref="P39:P40"/>
    <mergeCell ref="Q39:Q40"/>
    <mergeCell ref="R39:R40"/>
    <mergeCell ref="B22:B25"/>
    <mergeCell ref="R24:R25"/>
    <mergeCell ref="S24:S25"/>
    <mergeCell ref="B32:C32"/>
    <mergeCell ref="B33:B34"/>
    <mergeCell ref="C33:C34"/>
    <mergeCell ref="P33:P34"/>
    <mergeCell ref="Q33:Q34"/>
    <mergeCell ref="J6:K6"/>
    <mergeCell ref="J7:K7"/>
    <mergeCell ref="J8:K8"/>
    <mergeCell ref="J9:K9"/>
    <mergeCell ref="C24:C25"/>
    <mergeCell ref="B17:C17"/>
    <mergeCell ref="B18:B19"/>
    <mergeCell ref="B20:B21"/>
    <mergeCell ref="B26:B27"/>
    <mergeCell ref="C26:C27"/>
    <mergeCell ref="C22:C23"/>
    <mergeCell ref="P22:P23"/>
    <mergeCell ref="C18:C19"/>
    <mergeCell ref="P18:P19"/>
    <mergeCell ref="C20:C21"/>
    <mergeCell ref="P20:P21"/>
    <mergeCell ref="O28:P28"/>
    <mergeCell ref="O29:P29"/>
    <mergeCell ref="Q18:Q19"/>
    <mergeCell ref="Q20:Q21"/>
    <mergeCell ref="Q22:Q23"/>
    <mergeCell ref="P24:P25"/>
    <mergeCell ref="Q24:Q25"/>
    <mergeCell ref="R18:R19"/>
    <mergeCell ref="S18:S19"/>
    <mergeCell ref="P26:P27"/>
    <mergeCell ref="Q26:Q27"/>
    <mergeCell ref="AD4:AE4"/>
    <mergeCell ref="AA3:AF3"/>
    <mergeCell ref="U24:U25"/>
    <mergeCell ref="V24:V25"/>
    <mergeCell ref="U26:U27"/>
    <mergeCell ref="V26:V27"/>
    <mergeCell ref="U18:U19"/>
    <mergeCell ref="V18:V19"/>
    <mergeCell ref="U20:U21"/>
    <mergeCell ref="V20:V21"/>
    <mergeCell ref="U22:U23"/>
    <mergeCell ref="V22:V23"/>
    <mergeCell ref="W18:W19"/>
    <mergeCell ref="X18:X19"/>
    <mergeCell ref="W20:W21"/>
    <mergeCell ref="X20:X21"/>
    <mergeCell ref="W22:W23"/>
    <mergeCell ref="X22:X23"/>
    <mergeCell ref="W24:W25"/>
    <mergeCell ref="X24:X25"/>
    <mergeCell ref="W26:W27"/>
    <mergeCell ref="X26:X2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opLeftCell="A64" zoomScaleNormal="100" workbookViewId="0">
      <selection activeCell="C47" sqref="C47:F63"/>
    </sheetView>
  </sheetViews>
  <sheetFormatPr baseColWidth="10" defaultRowHeight="15"/>
  <cols>
    <col min="2" max="2" width="17.140625" customWidth="1"/>
    <col min="3" max="3" width="11.140625" customWidth="1"/>
    <col min="5" max="5" width="13.42578125" customWidth="1"/>
    <col min="6" max="6" width="11.42578125" customWidth="1"/>
    <col min="7" max="7" width="12.7109375" customWidth="1"/>
    <col min="8" max="8" width="8.7109375" customWidth="1"/>
    <col min="9" max="9" width="11.42578125" customWidth="1"/>
    <col min="10" max="10" width="13.42578125" customWidth="1"/>
  </cols>
  <sheetData>
    <row r="1" spans="1:23" ht="15.75" thickBot="1">
      <c r="A1" s="150"/>
      <c r="B1" s="150"/>
      <c r="C1" s="150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50"/>
      <c r="S1" s="150"/>
      <c r="T1" s="149"/>
      <c r="U1" s="149"/>
      <c r="V1" s="149"/>
      <c r="W1" s="149"/>
    </row>
    <row r="2" spans="1:23">
      <c r="A2" s="757" t="s">
        <v>112</v>
      </c>
      <c r="B2" s="758"/>
      <c r="C2" s="758"/>
      <c r="D2" s="75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49"/>
      <c r="U2" s="149"/>
      <c r="V2" s="149"/>
      <c r="W2" s="149"/>
    </row>
    <row r="3" spans="1:23" s="255" customFormat="1">
      <c r="A3" s="755" t="s">
        <v>229</v>
      </c>
      <c r="B3" s="756"/>
      <c r="C3" s="424" t="s">
        <v>230</v>
      </c>
      <c r="D3" s="425" t="s">
        <v>231</v>
      </c>
    </row>
    <row r="4" spans="1:23">
      <c r="A4" s="766" t="s">
        <v>247</v>
      </c>
      <c r="B4" s="767"/>
      <c r="C4" s="239" t="s">
        <v>47</v>
      </c>
      <c r="D4" s="421">
        <f>trafico!C2</f>
        <v>20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49"/>
      <c r="U4" s="149"/>
      <c r="V4" s="149"/>
      <c r="W4" s="149"/>
    </row>
    <row r="5" spans="1:23">
      <c r="A5" s="766" t="s">
        <v>248</v>
      </c>
      <c r="B5" s="767"/>
      <c r="C5" s="239" t="s">
        <v>113</v>
      </c>
      <c r="D5" s="420">
        <f>trafico!T28</f>
        <v>13281861.719537178</v>
      </c>
      <c r="E5" s="234">
        <f>D5</f>
        <v>13281861.719537178</v>
      </c>
      <c r="F5" s="150"/>
      <c r="G5" s="150"/>
      <c r="H5" s="150"/>
      <c r="I5" s="150"/>
      <c r="J5" s="150"/>
      <c r="K5" s="150"/>
      <c r="L5" s="150"/>
      <c r="M5" s="150"/>
      <c r="N5" s="150"/>
      <c r="O5" s="173"/>
      <c r="P5" s="173"/>
      <c r="Q5" s="173"/>
      <c r="R5" s="173"/>
      <c r="S5" s="173"/>
      <c r="T5" s="149"/>
      <c r="U5" s="149"/>
      <c r="V5" s="149"/>
      <c r="W5" s="149"/>
    </row>
    <row r="6" spans="1:23">
      <c r="A6" s="764" t="s">
        <v>114</v>
      </c>
      <c r="B6" s="765"/>
      <c r="C6" s="239" t="s">
        <v>115</v>
      </c>
      <c r="D6" s="421">
        <v>4.2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49"/>
      <c r="U6" s="149"/>
      <c r="V6" s="149"/>
      <c r="W6" s="149"/>
    </row>
    <row r="7" spans="1:23">
      <c r="A7" s="764" t="s">
        <v>116</v>
      </c>
      <c r="B7" s="765"/>
      <c r="C7" s="239" t="s">
        <v>117</v>
      </c>
      <c r="D7" s="421">
        <v>2.5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6"/>
      <c r="P7" s="150"/>
      <c r="Q7" s="150"/>
      <c r="R7" s="150"/>
      <c r="S7" s="150"/>
      <c r="T7" s="149"/>
      <c r="U7" s="149"/>
      <c r="V7" s="149"/>
      <c r="W7" s="149"/>
    </row>
    <row r="8" spans="1:23">
      <c r="A8" s="768" t="s">
        <v>118</v>
      </c>
      <c r="B8" s="769"/>
      <c r="C8" s="239" t="s">
        <v>119</v>
      </c>
      <c r="D8" s="421">
        <v>0.5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49"/>
      <c r="U8" s="149"/>
      <c r="V8" s="149"/>
      <c r="W8" s="149"/>
    </row>
    <row r="9" spans="1:23">
      <c r="A9" s="766" t="s">
        <v>120</v>
      </c>
      <c r="B9" s="767"/>
      <c r="C9" s="239" t="s">
        <v>121</v>
      </c>
      <c r="D9" s="422">
        <v>0.9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49"/>
      <c r="U9" s="149"/>
      <c r="V9" s="149"/>
      <c r="W9" s="149"/>
    </row>
    <row r="10" spans="1:23">
      <c r="A10" s="766" t="s">
        <v>122</v>
      </c>
      <c r="B10" s="767"/>
      <c r="C10" s="239" t="s">
        <v>123</v>
      </c>
      <c r="D10" s="423">
        <f>+NORMSINV(D9)</f>
        <v>1.2815515655446006</v>
      </c>
      <c r="E10" s="228" t="s">
        <v>124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49"/>
      <c r="U10" s="149"/>
      <c r="V10" s="149"/>
      <c r="W10" s="149"/>
    </row>
    <row r="11" spans="1:23" s="255" customFormat="1">
      <c r="A11" s="772" t="s">
        <v>233</v>
      </c>
      <c r="B11" s="773"/>
      <c r="C11" s="239" t="s">
        <v>234</v>
      </c>
      <c r="D11" s="426">
        <f>D6-D7</f>
        <v>1.7000000000000002</v>
      </c>
    </row>
    <row r="12" spans="1:23" s="255" customFormat="1" ht="18">
      <c r="A12" s="799" t="s">
        <v>235</v>
      </c>
      <c r="B12" s="800"/>
      <c r="C12" s="413" t="s">
        <v>238</v>
      </c>
      <c r="D12" s="427">
        <f>ROUND(H19,0)</f>
        <v>11182</v>
      </c>
    </row>
    <row r="13" spans="1:23" s="255" customFormat="1" ht="18">
      <c r="A13" s="799" t="s">
        <v>236</v>
      </c>
      <c r="B13" s="800"/>
      <c r="C13" s="413" t="s">
        <v>239</v>
      </c>
      <c r="D13" s="427">
        <f>H20</f>
        <v>14800</v>
      </c>
    </row>
    <row r="14" spans="1:23" s="255" customFormat="1" ht="18.75" thickBot="1">
      <c r="A14" s="801" t="s">
        <v>237</v>
      </c>
      <c r="B14" s="802"/>
      <c r="C14" s="415" t="s">
        <v>240</v>
      </c>
      <c r="D14" s="428">
        <f>H21</f>
        <v>28000</v>
      </c>
    </row>
    <row r="15" spans="1:23" s="255" customFormat="1" ht="15.75" thickBot="1">
      <c r="A15" s="813" t="s">
        <v>229</v>
      </c>
      <c r="B15" s="814"/>
      <c r="C15" s="429" t="s">
        <v>230</v>
      </c>
      <c r="D15" s="430" t="s">
        <v>231</v>
      </c>
    </row>
    <row r="16" spans="1:23" ht="18">
      <c r="A16" s="803" t="s">
        <v>241</v>
      </c>
      <c r="B16" s="804"/>
      <c r="C16" s="411" t="s">
        <v>246</v>
      </c>
      <c r="D16" s="431">
        <f>D29</f>
        <v>4.6130810991269531</v>
      </c>
      <c r="E16" s="228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49"/>
      <c r="U16" s="149"/>
      <c r="V16" s="149"/>
      <c r="W16" s="149"/>
    </row>
    <row r="17" spans="1:23" ht="18.75" thickBot="1">
      <c r="A17" s="809" t="s">
        <v>242</v>
      </c>
      <c r="B17" s="810"/>
      <c r="C17" s="413" t="s">
        <v>245</v>
      </c>
      <c r="D17" s="432">
        <f>G29</f>
        <v>4.1797018530753691</v>
      </c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49"/>
      <c r="U17" s="149"/>
      <c r="V17" s="149"/>
      <c r="W17" s="149"/>
    </row>
    <row r="18" spans="1:23" ht="18.75" thickBot="1">
      <c r="A18" s="811" t="s">
        <v>243</v>
      </c>
      <c r="B18" s="812"/>
      <c r="C18" s="415" t="s">
        <v>244</v>
      </c>
      <c r="D18" s="433">
        <f>J29</f>
        <v>3.2947051248621597</v>
      </c>
      <c r="F18" s="418" t="s">
        <v>225</v>
      </c>
      <c r="G18" s="399" t="s">
        <v>226</v>
      </c>
      <c r="H18" s="398" t="s">
        <v>125</v>
      </c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49"/>
      <c r="U18" s="149"/>
      <c r="V18" s="149"/>
      <c r="W18" s="149"/>
    </row>
    <row r="19" spans="1:23">
      <c r="A19" s="416"/>
      <c r="B19" s="417"/>
      <c r="F19" s="410" t="s">
        <v>126</v>
      </c>
      <c r="G19" s="411">
        <v>7.57</v>
      </c>
      <c r="H19" s="409">
        <f>3000*(POWER(G19,0.65))</f>
        <v>11182.362748909705</v>
      </c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49"/>
      <c r="U19" s="149"/>
      <c r="V19" s="149"/>
      <c r="W19" s="149"/>
    </row>
    <row r="20" spans="1:23">
      <c r="A20" s="416" t="s">
        <v>228</v>
      </c>
      <c r="B20" s="417"/>
      <c r="F20" s="412" t="s">
        <v>127</v>
      </c>
      <c r="G20" s="413">
        <v>30</v>
      </c>
      <c r="H20" s="164">
        <v>14800</v>
      </c>
      <c r="I20" s="150" t="s">
        <v>128</v>
      </c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49"/>
      <c r="U20" s="149"/>
      <c r="V20" s="149"/>
      <c r="W20" s="149"/>
    </row>
    <row r="21" spans="1:23" ht="15.75" thickBot="1">
      <c r="A21" s="416"/>
      <c r="B21" s="417"/>
      <c r="F21" s="414" t="s">
        <v>129</v>
      </c>
      <c r="G21" s="415">
        <v>80</v>
      </c>
      <c r="H21" s="165">
        <v>28000</v>
      </c>
      <c r="I21" s="150" t="s">
        <v>130</v>
      </c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49"/>
      <c r="U21" s="149"/>
      <c r="V21" s="149"/>
      <c r="W21" s="149"/>
    </row>
    <row r="22" spans="1:23">
      <c r="A22" s="763"/>
      <c r="B22" s="763"/>
      <c r="C22" s="150"/>
      <c r="D22" s="159"/>
      <c r="E22" s="170"/>
      <c r="F22" s="17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  <row r="23" spans="1:23">
      <c r="A23" s="150"/>
      <c r="B23" s="150"/>
      <c r="C23" s="150" t="s">
        <v>131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</row>
    <row r="24" spans="1:23" ht="15.75" thickBot="1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</row>
    <row r="25" spans="1:23" ht="15.75" thickBot="1">
      <c r="A25" s="150"/>
      <c r="B25" s="150"/>
      <c r="C25" s="558" t="s">
        <v>132</v>
      </c>
      <c r="D25" s="560"/>
      <c r="E25" s="169"/>
      <c r="F25" s="770" t="s">
        <v>133</v>
      </c>
      <c r="G25" s="771"/>
      <c r="H25" s="169"/>
      <c r="I25" s="770" t="s">
        <v>134</v>
      </c>
      <c r="J25" s="771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</row>
    <row r="26" spans="1:23">
      <c r="A26" s="150"/>
      <c r="B26" s="150"/>
      <c r="C26" s="174" t="s">
        <v>113</v>
      </c>
      <c r="D26" s="196">
        <f>D5</f>
        <v>13281861.719537178</v>
      </c>
      <c r="E26" s="192"/>
      <c r="F26" s="189" t="s">
        <v>113</v>
      </c>
      <c r="G26" s="195">
        <f>D5</f>
        <v>13281861.719537178</v>
      </c>
      <c r="H26" s="192"/>
      <c r="I26" s="189" t="s">
        <v>113</v>
      </c>
      <c r="J26" s="195">
        <f>D5</f>
        <v>13281861.719537178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spans="1:23">
      <c r="A27" s="150"/>
      <c r="B27" s="150"/>
      <c r="C27" s="153" t="s">
        <v>123</v>
      </c>
      <c r="D27" s="193">
        <f>-D10</f>
        <v>-1.2815515655446006</v>
      </c>
      <c r="E27" s="192"/>
      <c r="F27" s="189" t="s">
        <v>123</v>
      </c>
      <c r="G27" s="193">
        <f>-D10</f>
        <v>-1.2815515655446006</v>
      </c>
      <c r="H27" s="192"/>
      <c r="I27" s="189" t="s">
        <v>123</v>
      </c>
      <c r="J27" s="193">
        <f>-D10</f>
        <v>-1.2815515655446006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6"/>
    </row>
    <row r="28" spans="1:23">
      <c r="A28" s="150"/>
      <c r="B28" s="150"/>
      <c r="C28" s="153" t="s">
        <v>119</v>
      </c>
      <c r="D28" s="191">
        <f>D8</f>
        <v>0.5</v>
      </c>
      <c r="E28" s="192"/>
      <c r="F28" s="189" t="s">
        <v>119</v>
      </c>
      <c r="G28" s="191">
        <f>D8</f>
        <v>0.5</v>
      </c>
      <c r="H28" s="192"/>
      <c r="I28" s="189" t="s">
        <v>119</v>
      </c>
      <c r="J28" s="191">
        <f>D8</f>
        <v>0.5</v>
      </c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</row>
    <row r="29" spans="1:23">
      <c r="A29" s="150"/>
      <c r="B29" s="150"/>
      <c r="C29" s="153" t="s">
        <v>28</v>
      </c>
      <c r="D29" s="197">
        <v>4.6130810991269531</v>
      </c>
      <c r="E29" s="192"/>
      <c r="F29" s="189" t="s">
        <v>28</v>
      </c>
      <c r="G29" s="197">
        <v>4.1797018530753691</v>
      </c>
      <c r="H29" s="192"/>
      <c r="I29" s="189" t="s">
        <v>28</v>
      </c>
      <c r="J29" s="197">
        <v>3.2947051248621597</v>
      </c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</row>
    <row r="30" spans="1:23">
      <c r="A30" s="150"/>
      <c r="B30" s="150"/>
      <c r="C30" s="419" t="s">
        <v>135</v>
      </c>
      <c r="D30" s="191">
        <f>D6-D7</f>
        <v>1.7000000000000002</v>
      </c>
      <c r="E30" s="192"/>
      <c r="F30" s="189" t="s">
        <v>135</v>
      </c>
      <c r="G30" s="191">
        <f>D6-D7</f>
        <v>1.7000000000000002</v>
      </c>
      <c r="H30" s="192"/>
      <c r="I30" s="189" t="s">
        <v>135</v>
      </c>
      <c r="J30" s="191">
        <f>D6-D7</f>
        <v>1.7000000000000002</v>
      </c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</row>
    <row r="31" spans="1:23">
      <c r="A31" s="150"/>
      <c r="B31" s="150"/>
      <c r="C31" s="153" t="s">
        <v>136</v>
      </c>
      <c r="D31" s="195">
        <f>D12</f>
        <v>11182</v>
      </c>
      <c r="E31" s="192"/>
      <c r="F31" s="189" t="s">
        <v>136</v>
      </c>
      <c r="G31" s="191">
        <f>H20</f>
        <v>14800</v>
      </c>
      <c r="H31" s="192"/>
      <c r="I31" s="189" t="s">
        <v>136</v>
      </c>
      <c r="J31" s="191">
        <f>H21</f>
        <v>28000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</row>
    <row r="32" spans="1:23">
      <c r="A32" s="150"/>
      <c r="B32" s="150"/>
      <c r="C32" s="153" t="s">
        <v>137</v>
      </c>
      <c r="D32" s="193">
        <f>LOG(D26)</f>
        <v>7.1232589543884011</v>
      </c>
      <c r="E32" s="405"/>
      <c r="F32" s="406" t="s">
        <v>137</v>
      </c>
      <c r="G32" s="193">
        <f>LOG(G26)</f>
        <v>7.1232589543884011</v>
      </c>
      <c r="H32" s="405"/>
      <c r="I32" s="406" t="s">
        <v>137</v>
      </c>
      <c r="J32" s="193">
        <f>LOG(J26)</f>
        <v>7.1232589543884011</v>
      </c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3">
      <c r="A33" s="150"/>
      <c r="B33" s="150"/>
      <c r="C33" s="153" t="s">
        <v>137</v>
      </c>
      <c r="D33" s="193">
        <f>+D27*D28+9.36*LOG(D29+1)-0.2+((LOG(D30/(4.2-1.5))/(0.4+(1094/(D29+1)^5.19))))+2.32*LOG(D31)-8.07</f>
        <v>7.12325890901859</v>
      </c>
      <c r="E33" s="405"/>
      <c r="F33" s="406" t="s">
        <v>137</v>
      </c>
      <c r="G33" s="193">
        <f>+G27*G28+9.36*LOG(G29+1)-0.2+((LOG(G30/(4.2-1.5))/(0.4+(1094/(G29+1)^5.19))))+2.32*LOG(G31)-8.07</f>
        <v>7.123258895344005</v>
      </c>
      <c r="H33" s="405"/>
      <c r="I33" s="406" t="s">
        <v>137</v>
      </c>
      <c r="J33" s="193">
        <f>+J27*J28+9.36*LOG(J29+1)-0.2+((LOG(J30/(4.2-1.5))/(0.4+(1094/(J29+1)^5.19))))+2.32*LOG(J31)-8.07</f>
        <v>7.1232588122939831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</row>
    <row r="34" spans="1:23" ht="15.75" thickBot="1">
      <c r="A34" s="150"/>
      <c r="B34" s="150"/>
      <c r="C34" s="154" t="s">
        <v>138</v>
      </c>
      <c r="D34" s="194">
        <f>D32-D33</f>
        <v>4.5369811019213557E-8</v>
      </c>
      <c r="E34" s="192"/>
      <c r="F34" s="190" t="s">
        <v>138</v>
      </c>
      <c r="G34" s="194">
        <f>G32-G33</f>
        <v>5.9044396039098501E-8</v>
      </c>
      <c r="H34" s="192"/>
      <c r="I34" s="190" t="s">
        <v>138</v>
      </c>
      <c r="J34" s="194">
        <f>J32-J33</f>
        <v>1.4209441800971945E-7</v>
      </c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</row>
    <row r="35" spans="1:23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spans="1:23" ht="15.75" thickBot="1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</row>
    <row r="37" spans="1:23" ht="15.75" thickBot="1">
      <c r="A37" s="150"/>
      <c r="B37" s="150"/>
      <c r="C37" s="774" t="s">
        <v>28</v>
      </c>
      <c r="D37" s="775"/>
      <c r="E37" s="776"/>
      <c r="F37" s="150"/>
      <c r="G37" s="777" t="s">
        <v>227</v>
      </c>
      <c r="H37" s="778"/>
      <c r="I37" s="779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</row>
    <row r="38" spans="1:23">
      <c r="A38" s="149"/>
      <c r="B38" s="149"/>
      <c r="C38" s="153" t="s">
        <v>134</v>
      </c>
      <c r="D38" s="162">
        <f>J29</f>
        <v>3.2947051248621597</v>
      </c>
      <c r="E38" s="164" t="s">
        <v>139</v>
      </c>
      <c r="G38" s="402" t="s">
        <v>232</v>
      </c>
      <c r="H38" s="88" t="s">
        <v>147</v>
      </c>
      <c r="I38" s="119">
        <v>0.42</v>
      </c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spans="1:23">
      <c r="A39" s="149"/>
      <c r="B39" s="149"/>
      <c r="C39" s="153" t="s">
        <v>133</v>
      </c>
      <c r="D39" s="162">
        <f>G29</f>
        <v>4.1797018530753691</v>
      </c>
      <c r="E39" s="164" t="s">
        <v>140</v>
      </c>
      <c r="G39" s="400" t="s">
        <v>129</v>
      </c>
      <c r="H39" s="328" t="s">
        <v>148</v>
      </c>
      <c r="I39" s="164">
        <v>0.13500000000000001</v>
      </c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spans="1:23" ht="15.75" thickBot="1">
      <c r="A40" s="149"/>
      <c r="B40" s="149"/>
      <c r="C40" s="179" t="s">
        <v>132</v>
      </c>
      <c r="D40" s="404">
        <f>D29</f>
        <v>4.6130810991269531</v>
      </c>
      <c r="E40" s="182" t="s">
        <v>141</v>
      </c>
      <c r="G40" s="401" t="s">
        <v>127</v>
      </c>
      <c r="H40" s="91" t="s">
        <v>149</v>
      </c>
      <c r="I40" s="165">
        <v>0.11</v>
      </c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spans="1:23" ht="15.75" thickBot="1">
      <c r="A41" s="149"/>
      <c r="B41" s="149"/>
      <c r="C41" s="788" t="s">
        <v>142</v>
      </c>
      <c r="D41" s="789"/>
      <c r="E41" s="790"/>
      <c r="F41" s="150"/>
      <c r="G41" s="150"/>
      <c r="H41" s="150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</row>
    <row r="42" spans="1:23" ht="15.75" thickBot="1">
      <c r="A42" s="149"/>
      <c r="B42" s="149"/>
      <c r="C42" s="180" t="s">
        <v>143</v>
      </c>
      <c r="D42" s="163">
        <v>400000</v>
      </c>
      <c r="E42" s="181" t="s">
        <v>144</v>
      </c>
      <c r="F42" s="150" t="s">
        <v>145</v>
      </c>
      <c r="G42" s="150"/>
      <c r="H42" s="150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</row>
    <row r="43" spans="1:23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</row>
    <row r="44" spans="1:23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</row>
    <row r="45" spans="1:23">
      <c r="A45" s="149"/>
      <c r="B45" s="149"/>
      <c r="C45" s="150" t="s">
        <v>146</v>
      </c>
      <c r="D45" s="150"/>
      <c r="E45" s="150"/>
      <c r="F45" s="150"/>
      <c r="G45" s="150"/>
      <c r="H45" s="150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</row>
    <row r="46" spans="1:23" ht="15.75" thickBo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</row>
    <row r="47" spans="1:23" ht="15.75" thickBot="1">
      <c r="A47" s="149"/>
      <c r="B47" s="149"/>
      <c r="C47" s="760" t="s">
        <v>249</v>
      </c>
      <c r="D47" s="761"/>
      <c r="E47" s="761"/>
      <c r="F47" s="762"/>
      <c r="G47" s="150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</row>
    <row r="48" spans="1:23">
      <c r="A48" s="149"/>
      <c r="B48" s="149"/>
      <c r="C48" s="200" t="s">
        <v>139</v>
      </c>
      <c r="D48" s="434">
        <f>D38</f>
        <v>3.2947051248621597</v>
      </c>
      <c r="E48" s="791" t="s">
        <v>150</v>
      </c>
      <c r="F48" s="792"/>
      <c r="G48" s="150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</row>
    <row r="49" spans="1:23">
      <c r="A49" s="149"/>
      <c r="B49" s="149"/>
      <c r="C49" s="202" t="s">
        <v>147</v>
      </c>
      <c r="D49" s="209">
        <f>I38</f>
        <v>0.42</v>
      </c>
      <c r="E49" s="198" t="s">
        <v>151</v>
      </c>
      <c r="F49" s="203" t="s">
        <v>152</v>
      </c>
      <c r="G49" s="150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</row>
    <row r="50" spans="1:23">
      <c r="A50" s="149"/>
      <c r="B50" s="149"/>
      <c r="C50" s="202" t="s">
        <v>153</v>
      </c>
      <c r="D50" s="207">
        <f>D48/D49</f>
        <v>7.8445360115765714</v>
      </c>
      <c r="E50" s="435">
        <f>F50/2.54</f>
        <v>7.8740157480314963</v>
      </c>
      <c r="F50" s="438">
        <v>20</v>
      </c>
      <c r="G50" s="161">
        <f>D50*2.54</f>
        <v>19.925121469404491</v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</row>
    <row r="51" spans="1:23" ht="15.75" thickBot="1">
      <c r="A51" s="149"/>
      <c r="B51" s="149"/>
      <c r="C51" s="204" t="s">
        <v>154</v>
      </c>
      <c r="D51" s="436">
        <f>D49*E50</f>
        <v>3.3070866141732282</v>
      </c>
      <c r="E51" s="797" t="s">
        <v>155</v>
      </c>
      <c r="F51" s="798"/>
      <c r="G51" s="150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</row>
    <row r="52" spans="1:23" ht="15.75" thickBot="1">
      <c r="A52" s="149"/>
      <c r="B52" s="149"/>
      <c r="C52" s="815" t="s">
        <v>250</v>
      </c>
      <c r="D52" s="816"/>
      <c r="E52" s="816"/>
      <c r="F52" s="817"/>
      <c r="G52" s="150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</row>
    <row r="53" spans="1:23">
      <c r="A53" s="149"/>
      <c r="B53" s="149"/>
      <c r="C53" s="200" t="s">
        <v>156</v>
      </c>
      <c r="D53" s="205">
        <v>0.8</v>
      </c>
      <c r="E53" s="805" t="s">
        <v>157</v>
      </c>
      <c r="F53" s="806"/>
      <c r="G53" s="150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4" spans="1:23">
      <c r="A54" s="149"/>
      <c r="B54" s="149"/>
      <c r="C54" s="202" t="s">
        <v>140</v>
      </c>
      <c r="D54" s="209">
        <f>D39</f>
        <v>4.1797018530753691</v>
      </c>
      <c r="E54" s="807"/>
      <c r="F54" s="808"/>
      <c r="G54" s="150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  <row r="55" spans="1:23">
      <c r="A55" s="149"/>
      <c r="B55" s="149"/>
      <c r="C55" s="202" t="s">
        <v>148</v>
      </c>
      <c r="D55" s="199">
        <f>I39</f>
        <v>0.13500000000000001</v>
      </c>
      <c r="E55" s="198" t="s">
        <v>151</v>
      </c>
      <c r="F55" s="203" t="s">
        <v>152</v>
      </c>
      <c r="G55" s="150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</row>
    <row r="56" spans="1:23">
      <c r="A56" s="149"/>
      <c r="B56" s="149"/>
      <c r="C56" s="202" t="s">
        <v>158</v>
      </c>
      <c r="D56" s="207">
        <f>(D54-D51)/(D55*D53)</f>
        <v>8.0797707305753779</v>
      </c>
      <c r="E56" s="435">
        <f>F56/2.54</f>
        <v>9.8425196850393704</v>
      </c>
      <c r="F56" s="438">
        <v>25</v>
      </c>
      <c r="G56" s="206">
        <f>D56*2.54</f>
        <v>20.52261765566146</v>
      </c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</row>
    <row r="57" spans="1:23">
      <c r="A57" s="149"/>
      <c r="B57" s="149"/>
      <c r="C57" s="202" t="s">
        <v>159</v>
      </c>
      <c r="D57" s="207">
        <f>D55*D53*E56</f>
        <v>1.0629921259842521</v>
      </c>
      <c r="E57" s="793"/>
      <c r="F57" s="794"/>
      <c r="G57" s="150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</row>
    <row r="58" spans="1:23" ht="15.75" thickBot="1">
      <c r="A58" s="149"/>
      <c r="B58" s="149"/>
      <c r="C58" s="204" t="s">
        <v>160</v>
      </c>
      <c r="D58" s="436">
        <f>D51+D57</f>
        <v>4.3700787401574805</v>
      </c>
      <c r="E58" s="795" t="s">
        <v>155</v>
      </c>
      <c r="F58" s="796"/>
      <c r="G58" s="150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</row>
    <row r="59" spans="1:23" ht="15.75" thickBot="1">
      <c r="A59" s="149"/>
      <c r="B59" s="149"/>
      <c r="C59" s="760" t="s">
        <v>251</v>
      </c>
      <c r="D59" s="761"/>
      <c r="E59" s="761"/>
      <c r="F59" s="762"/>
      <c r="G59" s="150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</row>
    <row r="60" spans="1:23">
      <c r="A60" s="149"/>
      <c r="B60" s="149"/>
      <c r="C60" s="200" t="s">
        <v>141</v>
      </c>
      <c r="D60" s="201">
        <f>D40</f>
        <v>4.6130810991269531</v>
      </c>
      <c r="E60" s="791" t="s">
        <v>161</v>
      </c>
      <c r="F60" s="792"/>
      <c r="G60" s="150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</row>
    <row r="61" spans="1:23">
      <c r="A61" s="149"/>
      <c r="B61" s="150"/>
      <c r="C61" s="202" t="s">
        <v>149</v>
      </c>
      <c r="D61" s="199">
        <f>I40</f>
        <v>0.11</v>
      </c>
      <c r="E61" s="198" t="s">
        <v>151</v>
      </c>
      <c r="F61" s="203" t="s">
        <v>152</v>
      </c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49"/>
      <c r="S61" s="149"/>
      <c r="T61" s="149"/>
      <c r="U61" s="149"/>
      <c r="V61" s="149"/>
      <c r="W61" s="149"/>
    </row>
    <row r="62" spans="1:23">
      <c r="A62" s="149"/>
      <c r="B62" s="150"/>
      <c r="C62" s="202" t="s">
        <v>162</v>
      </c>
      <c r="D62" s="207">
        <f>(D60-D58)/(D61*D53)</f>
        <v>2.761390442834915</v>
      </c>
      <c r="E62" s="435">
        <f>F62/2.54</f>
        <v>3.9370078740157481</v>
      </c>
      <c r="F62" s="438">
        <v>10</v>
      </c>
      <c r="G62" s="208">
        <f>D62*2.54</f>
        <v>7.0139317248006838</v>
      </c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49"/>
      <c r="S62" s="149"/>
      <c r="T62" s="149"/>
      <c r="U62" s="149"/>
      <c r="V62" s="149"/>
      <c r="W62" s="149"/>
    </row>
    <row r="63" spans="1:23" ht="15.75" thickBot="1">
      <c r="A63" s="149"/>
      <c r="B63" s="150"/>
      <c r="C63" s="403" t="s">
        <v>192</v>
      </c>
      <c r="D63" s="437">
        <f>D61*D60*E62</f>
        <v>1.9977910271809638</v>
      </c>
      <c r="E63" s="780" t="s">
        <v>155</v>
      </c>
      <c r="F63" s="781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49"/>
      <c r="S63" s="149"/>
      <c r="T63" s="149"/>
      <c r="U63" s="149"/>
      <c r="V63" s="149"/>
      <c r="W63" s="149"/>
    </row>
    <row r="64" spans="1:23" ht="15.75" thickBot="1">
      <c r="A64" s="149"/>
      <c r="B64" s="150"/>
      <c r="C64" s="150"/>
      <c r="D64" s="208">
        <f>D58+D63</f>
        <v>6.3678697673384441</v>
      </c>
      <c r="E64" s="150"/>
      <c r="F64" s="150"/>
      <c r="G64" s="150"/>
      <c r="H64" s="760" t="s">
        <v>252</v>
      </c>
      <c r="I64" s="761"/>
      <c r="J64" s="761"/>
      <c r="K64" s="762"/>
      <c r="L64" s="150"/>
      <c r="M64" s="150"/>
      <c r="N64" s="150"/>
      <c r="O64" s="150"/>
      <c r="P64" s="150"/>
      <c r="Q64" s="150"/>
      <c r="R64" s="149"/>
      <c r="S64" s="149"/>
      <c r="T64" s="149"/>
      <c r="U64" s="149"/>
      <c r="V64" s="149"/>
      <c r="W64" s="149"/>
    </row>
    <row r="65" spans="1:23">
      <c r="A65" s="149"/>
      <c r="B65" s="150"/>
      <c r="C65" s="150"/>
      <c r="D65" s="150"/>
      <c r="E65" s="473"/>
      <c r="F65" s="474"/>
      <c r="G65" s="150"/>
      <c r="H65" s="786" t="s">
        <v>163</v>
      </c>
      <c r="I65" s="787"/>
      <c r="J65" s="41">
        <f>J66+J67+J68</f>
        <v>55</v>
      </c>
      <c r="K65" s="439" t="s">
        <v>152</v>
      </c>
      <c r="L65" s="150"/>
      <c r="M65" s="150"/>
      <c r="N65" s="150"/>
      <c r="O65" s="150"/>
      <c r="P65" s="150"/>
      <c r="Q65" s="150"/>
      <c r="R65" s="149"/>
      <c r="S65" s="149"/>
      <c r="T65" s="149"/>
      <c r="U65" s="149"/>
      <c r="V65" s="149"/>
      <c r="W65" s="149"/>
    </row>
    <row r="66" spans="1:23">
      <c r="A66" s="149"/>
      <c r="B66" s="150"/>
      <c r="C66" s="150"/>
      <c r="D66" s="150"/>
      <c r="E66" s="475"/>
      <c r="F66" s="475"/>
      <c r="G66" s="150"/>
      <c r="H66" s="782" t="s">
        <v>164</v>
      </c>
      <c r="I66" s="783"/>
      <c r="J66" s="440">
        <f>F50</f>
        <v>20</v>
      </c>
      <c r="K66" s="164" t="s">
        <v>152</v>
      </c>
      <c r="L66" s="150"/>
      <c r="M66" s="150"/>
      <c r="N66" s="150"/>
      <c r="O66" s="150"/>
      <c r="P66" s="150"/>
      <c r="Q66" s="150"/>
      <c r="R66" s="149"/>
      <c r="S66" s="149"/>
      <c r="T66" s="149"/>
      <c r="U66" s="149"/>
      <c r="V66" s="149"/>
      <c r="W66" s="149"/>
    </row>
    <row r="67" spans="1:23">
      <c r="A67" s="149"/>
      <c r="B67" s="150"/>
      <c r="C67" s="150"/>
      <c r="D67" s="150"/>
      <c r="E67" s="475"/>
      <c r="F67" s="475"/>
      <c r="G67" s="150"/>
      <c r="H67" s="782" t="s">
        <v>165</v>
      </c>
      <c r="I67" s="783"/>
      <c r="J67" s="440">
        <f>F56</f>
        <v>25</v>
      </c>
      <c r="K67" s="164" t="s">
        <v>152</v>
      </c>
      <c r="L67" s="150"/>
      <c r="M67" s="150"/>
      <c r="N67" s="150"/>
      <c r="O67" s="150"/>
      <c r="P67" s="150"/>
      <c r="Q67" s="150"/>
      <c r="R67" s="149"/>
      <c r="S67" s="149"/>
      <c r="T67" s="149"/>
      <c r="U67" s="149"/>
      <c r="V67" s="149"/>
      <c r="W67" s="149"/>
    </row>
    <row r="68" spans="1:23" ht="15.75" thickBot="1">
      <c r="A68" s="149"/>
      <c r="B68" s="150"/>
      <c r="C68" s="150"/>
      <c r="D68" s="150"/>
      <c r="E68" s="475"/>
      <c r="F68" s="475"/>
      <c r="G68" s="150"/>
      <c r="H68" s="784" t="s">
        <v>166</v>
      </c>
      <c r="I68" s="785"/>
      <c r="J68" s="441">
        <f>F62</f>
        <v>10</v>
      </c>
      <c r="K68" s="165" t="s">
        <v>152</v>
      </c>
      <c r="L68" s="150"/>
      <c r="M68" s="150"/>
      <c r="N68" s="150"/>
      <c r="O68" s="150"/>
      <c r="P68" s="150"/>
      <c r="Q68" s="150"/>
      <c r="R68" s="149"/>
      <c r="S68" s="149"/>
      <c r="T68" s="149"/>
      <c r="U68" s="149"/>
      <c r="V68" s="149"/>
      <c r="W68" s="149"/>
    </row>
    <row r="69" spans="1:23">
      <c r="A69" s="149"/>
      <c r="B69" s="150"/>
      <c r="C69" s="150"/>
      <c r="D69" s="150"/>
      <c r="E69" s="143"/>
      <c r="F69" s="476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49"/>
      <c r="S69" s="149"/>
      <c r="T69" s="149"/>
      <c r="U69" s="149"/>
      <c r="V69" s="149"/>
      <c r="W69" s="149"/>
    </row>
    <row r="70" spans="1:23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</row>
    <row r="71" spans="1:23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</row>
    <row r="72" spans="1:23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</row>
    <row r="73" spans="1:23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</row>
    <row r="74" spans="1:23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</row>
    <row r="75" spans="1:23">
      <c r="A75" s="149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49"/>
      <c r="S75" s="149"/>
      <c r="T75" s="149"/>
      <c r="U75" s="149"/>
      <c r="V75" s="149"/>
      <c r="W75" s="149"/>
    </row>
    <row r="76" spans="1:23">
      <c r="A76" s="149"/>
      <c r="B76" s="151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49"/>
      <c r="S76" s="149"/>
      <c r="T76" s="149"/>
      <c r="U76" s="149"/>
      <c r="V76" s="149"/>
      <c r="W76" s="149"/>
    </row>
    <row r="77" spans="1:23">
      <c r="A77" s="150"/>
      <c r="B77" s="151"/>
      <c r="C77" s="150"/>
      <c r="D77" s="150"/>
      <c r="E77" s="150"/>
      <c r="F77" s="150"/>
      <c r="G77" s="150"/>
      <c r="H77" s="150"/>
      <c r="I77" s="150"/>
      <c r="J77" s="150"/>
      <c r="K77" s="15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</row>
  </sheetData>
  <mergeCells count="39">
    <mergeCell ref="A12:B12"/>
    <mergeCell ref="A13:B13"/>
    <mergeCell ref="A14:B14"/>
    <mergeCell ref="A16:B16"/>
    <mergeCell ref="C59:F59"/>
    <mergeCell ref="E53:F54"/>
    <mergeCell ref="A17:B17"/>
    <mergeCell ref="A18:B18"/>
    <mergeCell ref="A15:B15"/>
    <mergeCell ref="C47:F47"/>
    <mergeCell ref="C52:F52"/>
    <mergeCell ref="G37:I37"/>
    <mergeCell ref="E63:F63"/>
    <mergeCell ref="H67:I67"/>
    <mergeCell ref="H68:I68"/>
    <mergeCell ref="H65:I65"/>
    <mergeCell ref="H66:I66"/>
    <mergeCell ref="C41:E41"/>
    <mergeCell ref="E48:F48"/>
    <mergeCell ref="E57:F57"/>
    <mergeCell ref="E58:F58"/>
    <mergeCell ref="E60:F60"/>
    <mergeCell ref="E51:F51"/>
    <mergeCell ref="A3:B3"/>
    <mergeCell ref="A2:D2"/>
    <mergeCell ref="H64:K64"/>
    <mergeCell ref="A22:B22"/>
    <mergeCell ref="A7:B7"/>
    <mergeCell ref="A6:B6"/>
    <mergeCell ref="A9:B9"/>
    <mergeCell ref="A10:B10"/>
    <mergeCell ref="A4:B4"/>
    <mergeCell ref="A5:B5"/>
    <mergeCell ref="A8:B8"/>
    <mergeCell ref="C25:D25"/>
    <mergeCell ref="F25:G25"/>
    <mergeCell ref="I25:J25"/>
    <mergeCell ref="A11:B11"/>
    <mergeCell ref="C37:E3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tabSelected="1" topLeftCell="A115" zoomScaleNormal="100" workbookViewId="0">
      <selection activeCell="G125" sqref="G125:Q128"/>
    </sheetView>
  </sheetViews>
  <sheetFormatPr baseColWidth="10" defaultRowHeight="15"/>
  <cols>
    <col min="1" max="1" width="11.42578125" style="255"/>
    <col min="2" max="2" width="18.85546875" style="255" customWidth="1"/>
    <col min="3" max="3" width="11.140625" style="255" customWidth="1"/>
    <col min="4" max="4" width="11.42578125" style="255"/>
    <col min="5" max="5" width="8.85546875" style="255" customWidth="1"/>
    <col min="6" max="6" width="11.42578125" style="255" customWidth="1"/>
    <col min="7" max="7" width="10.5703125" style="255" customWidth="1"/>
    <col min="8" max="8" width="8.140625" style="255" customWidth="1"/>
    <col min="9" max="9" width="10.42578125" style="255" customWidth="1"/>
    <col min="10" max="10" width="11.7109375" style="255" customWidth="1"/>
    <col min="11" max="11" width="8.140625" style="255" customWidth="1"/>
    <col min="12" max="12" width="8.85546875" style="255" customWidth="1"/>
    <col min="13" max="13" width="10.5703125" style="255" customWidth="1"/>
    <col min="14" max="14" width="8.85546875" style="255" customWidth="1"/>
    <col min="15" max="15" width="9" style="255" customWidth="1"/>
    <col min="16" max="16" width="9.28515625" style="255" customWidth="1"/>
    <col min="17" max="16384" width="11.42578125" style="255"/>
  </cols>
  <sheetData>
    <row r="1" spans="1:19" ht="15.75" thickBot="1"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9">
      <c r="A2" s="757" t="s">
        <v>112</v>
      </c>
      <c r="B2" s="758"/>
      <c r="C2" s="758"/>
      <c r="D2" s="759"/>
    </row>
    <row r="3" spans="1:19">
      <c r="A3" s="755" t="s">
        <v>229</v>
      </c>
      <c r="B3" s="756"/>
      <c r="C3" s="472" t="s">
        <v>230</v>
      </c>
      <c r="D3" s="425" t="s">
        <v>231</v>
      </c>
    </row>
    <row r="4" spans="1:19">
      <c r="A4" s="766" t="s">
        <v>247</v>
      </c>
      <c r="B4" s="767"/>
      <c r="C4" s="239" t="s">
        <v>47</v>
      </c>
      <c r="D4" s="421">
        <f>trafico!C3</f>
        <v>10</v>
      </c>
    </row>
    <row r="5" spans="1:19">
      <c r="A5" s="766" t="s">
        <v>248</v>
      </c>
      <c r="B5" s="767"/>
      <c r="C5" s="239" t="s">
        <v>113</v>
      </c>
      <c r="D5" s="420">
        <f>trafico!V28</f>
        <v>6087763.6639570296</v>
      </c>
      <c r="E5" s="246">
        <f>D5</f>
        <v>6087763.6639570296</v>
      </c>
      <c r="O5" s="173"/>
      <c r="P5" s="173"/>
      <c r="Q5" s="173"/>
      <c r="R5" s="173"/>
      <c r="S5" s="173"/>
    </row>
    <row r="6" spans="1:19">
      <c r="A6" s="764" t="s">
        <v>114</v>
      </c>
      <c r="B6" s="765"/>
      <c r="C6" s="239" t="s">
        <v>115</v>
      </c>
      <c r="D6" s="421">
        <v>4.2</v>
      </c>
    </row>
    <row r="7" spans="1:19">
      <c r="A7" s="764" t="s">
        <v>116</v>
      </c>
      <c r="B7" s="765"/>
      <c r="C7" s="239" t="s">
        <v>117</v>
      </c>
      <c r="D7" s="421">
        <v>2.5</v>
      </c>
      <c r="O7" s="156"/>
    </row>
    <row r="8" spans="1:19">
      <c r="A8" s="768" t="s">
        <v>118</v>
      </c>
      <c r="B8" s="769"/>
      <c r="C8" s="239" t="s">
        <v>119</v>
      </c>
      <c r="D8" s="421">
        <v>0.5</v>
      </c>
    </row>
    <row r="9" spans="1:19">
      <c r="A9" s="766" t="s">
        <v>120</v>
      </c>
      <c r="B9" s="767"/>
      <c r="C9" s="239" t="s">
        <v>121</v>
      </c>
      <c r="D9" s="422">
        <v>0.9</v>
      </c>
    </row>
    <row r="10" spans="1:19">
      <c r="A10" s="766" t="s">
        <v>122</v>
      </c>
      <c r="B10" s="767"/>
      <c r="C10" s="239" t="s">
        <v>123</v>
      </c>
      <c r="D10" s="423">
        <f>+NORMSINV(D9)</f>
        <v>1.2815515655446006</v>
      </c>
      <c r="E10" s="255" t="s">
        <v>124</v>
      </c>
    </row>
    <row r="11" spans="1:19">
      <c r="A11" s="772" t="s">
        <v>233</v>
      </c>
      <c r="B11" s="773"/>
      <c r="C11" s="239" t="s">
        <v>234</v>
      </c>
      <c r="D11" s="426">
        <f>D6-D7</f>
        <v>1.7000000000000002</v>
      </c>
    </row>
    <row r="12" spans="1:19" ht="18">
      <c r="A12" s="799" t="s">
        <v>235</v>
      </c>
      <c r="B12" s="800"/>
      <c r="C12" s="413" t="s">
        <v>238</v>
      </c>
      <c r="D12" s="427">
        <f>ROUND(H19,0)</f>
        <v>11182</v>
      </c>
    </row>
    <row r="13" spans="1:19" ht="18">
      <c r="A13" s="799" t="s">
        <v>236</v>
      </c>
      <c r="B13" s="800"/>
      <c r="C13" s="413" t="s">
        <v>239</v>
      </c>
      <c r="D13" s="427">
        <f>H20</f>
        <v>14800</v>
      </c>
    </row>
    <row r="14" spans="1:19" ht="18.75" thickBot="1">
      <c r="A14" s="801" t="s">
        <v>237</v>
      </c>
      <c r="B14" s="802"/>
      <c r="C14" s="415" t="s">
        <v>240</v>
      </c>
      <c r="D14" s="428">
        <f>H21</f>
        <v>28000</v>
      </c>
    </row>
    <row r="15" spans="1:19" ht="15.75" hidden="1" thickBot="1">
      <c r="A15" s="813" t="s">
        <v>229</v>
      </c>
      <c r="B15" s="814"/>
      <c r="C15" s="471" t="s">
        <v>230</v>
      </c>
      <c r="D15" s="430" t="s">
        <v>231</v>
      </c>
    </row>
    <row r="16" spans="1:19" ht="18.75" thickBot="1">
      <c r="A16" s="818" t="s">
        <v>241</v>
      </c>
      <c r="B16" s="819"/>
      <c r="C16" s="499" t="s">
        <v>246</v>
      </c>
      <c r="D16" s="500">
        <f>D29</f>
        <v>4.0961399430059124</v>
      </c>
    </row>
    <row r="17" spans="1:23" ht="18.75" thickBot="1">
      <c r="A17" s="803" t="s">
        <v>242</v>
      </c>
      <c r="B17" s="804"/>
      <c r="C17" s="411" t="s">
        <v>245</v>
      </c>
      <c r="D17" s="431">
        <f>G29</f>
        <v>3.6935772750080695</v>
      </c>
    </row>
    <row r="18" spans="1:23" ht="18.75" thickBot="1">
      <c r="A18" s="811" t="s">
        <v>243</v>
      </c>
      <c r="B18" s="812"/>
      <c r="C18" s="415" t="s">
        <v>244</v>
      </c>
      <c r="D18" s="433">
        <f>J29</f>
        <v>2.8953692126982822</v>
      </c>
      <c r="F18" s="418" t="s">
        <v>225</v>
      </c>
      <c r="G18" s="399" t="s">
        <v>226</v>
      </c>
      <c r="H18" s="398" t="s">
        <v>125</v>
      </c>
    </row>
    <row r="19" spans="1:23">
      <c r="A19" s="416"/>
      <c r="B19" s="416"/>
      <c r="C19" s="159"/>
      <c r="F19" s="410" t="s">
        <v>126</v>
      </c>
      <c r="G19" s="411">
        <v>7.57</v>
      </c>
      <c r="H19" s="409">
        <f>3000*(POWER(G19,0.65))</f>
        <v>11182.362748909705</v>
      </c>
    </row>
    <row r="20" spans="1:23">
      <c r="A20" s="416" t="s">
        <v>228</v>
      </c>
      <c r="B20" s="416"/>
      <c r="C20" s="159"/>
      <c r="F20" s="412" t="s">
        <v>127</v>
      </c>
      <c r="G20" s="413">
        <v>30</v>
      </c>
      <c r="H20" s="164">
        <v>14800</v>
      </c>
      <c r="I20" s="255" t="s">
        <v>128</v>
      </c>
    </row>
    <row r="21" spans="1:23" ht="15.75" thickBot="1">
      <c r="A21" s="416"/>
      <c r="B21" s="416"/>
      <c r="C21" s="159"/>
      <c r="F21" s="414" t="s">
        <v>129</v>
      </c>
      <c r="G21" s="415">
        <v>80</v>
      </c>
      <c r="H21" s="165">
        <v>28000</v>
      </c>
      <c r="I21" s="255" t="s">
        <v>130</v>
      </c>
    </row>
    <row r="22" spans="1:23">
      <c r="A22" s="763"/>
      <c r="B22" s="763"/>
      <c r="D22" s="159"/>
      <c r="E22" s="170"/>
      <c r="F22" s="170"/>
    </row>
    <row r="23" spans="1:23">
      <c r="C23" s="255" t="s">
        <v>131</v>
      </c>
    </row>
    <row r="24" spans="1:23" ht="15.75" thickBot="1"/>
    <row r="25" spans="1:23" ht="15.75" thickBot="1">
      <c r="C25" s="558" t="s">
        <v>132</v>
      </c>
      <c r="D25" s="560"/>
      <c r="E25" s="192"/>
      <c r="F25" s="770" t="s">
        <v>133</v>
      </c>
      <c r="G25" s="771"/>
      <c r="H25" s="192"/>
      <c r="I25" s="770" t="s">
        <v>134</v>
      </c>
      <c r="J25" s="771"/>
    </row>
    <row r="26" spans="1:23">
      <c r="C26" s="174" t="s">
        <v>113</v>
      </c>
      <c r="D26" s="196">
        <f>D5</f>
        <v>6087763.6639570296</v>
      </c>
      <c r="E26" s="192"/>
      <c r="F26" s="189" t="s">
        <v>113</v>
      </c>
      <c r="G26" s="195">
        <f>D5</f>
        <v>6087763.6639570296</v>
      </c>
      <c r="H26" s="192"/>
      <c r="I26" s="189" t="s">
        <v>113</v>
      </c>
      <c r="J26" s="195">
        <f>D5</f>
        <v>6087763.6639570296</v>
      </c>
    </row>
    <row r="27" spans="1:23">
      <c r="C27" s="189" t="s">
        <v>123</v>
      </c>
      <c r="D27" s="193">
        <f>-D10</f>
        <v>-1.2815515655446006</v>
      </c>
      <c r="E27" s="192"/>
      <c r="F27" s="189" t="s">
        <v>123</v>
      </c>
      <c r="G27" s="193">
        <f>-D10</f>
        <v>-1.2815515655446006</v>
      </c>
      <c r="H27" s="192"/>
      <c r="I27" s="189" t="s">
        <v>123</v>
      </c>
      <c r="J27" s="193">
        <f>-D10</f>
        <v>-1.2815515655446006</v>
      </c>
      <c r="W27" s="156"/>
    </row>
    <row r="28" spans="1:23">
      <c r="C28" s="189" t="s">
        <v>119</v>
      </c>
      <c r="D28" s="191">
        <f>D8</f>
        <v>0.5</v>
      </c>
      <c r="E28" s="192"/>
      <c r="F28" s="189" t="s">
        <v>119</v>
      </c>
      <c r="G28" s="191">
        <f>D8</f>
        <v>0.5</v>
      </c>
      <c r="H28" s="192"/>
      <c r="I28" s="189" t="s">
        <v>119</v>
      </c>
      <c r="J28" s="191">
        <f>D8</f>
        <v>0.5</v>
      </c>
    </row>
    <row r="29" spans="1:23">
      <c r="C29" s="189" t="s">
        <v>28</v>
      </c>
      <c r="D29" s="197">
        <v>4.0961399430059124</v>
      </c>
      <c r="E29" s="192"/>
      <c r="F29" s="189" t="s">
        <v>28</v>
      </c>
      <c r="G29" s="197">
        <v>3.6935772750080695</v>
      </c>
      <c r="H29" s="192"/>
      <c r="I29" s="189" t="s">
        <v>28</v>
      </c>
      <c r="J29" s="197">
        <v>2.8953692126982822</v>
      </c>
    </row>
    <row r="30" spans="1:23">
      <c r="C30" s="419" t="s">
        <v>135</v>
      </c>
      <c r="D30" s="191">
        <f>D6-D7</f>
        <v>1.7000000000000002</v>
      </c>
      <c r="E30" s="192"/>
      <c r="F30" s="189" t="s">
        <v>135</v>
      </c>
      <c r="G30" s="191">
        <f>D6-D7</f>
        <v>1.7000000000000002</v>
      </c>
      <c r="H30" s="192"/>
      <c r="I30" s="189" t="s">
        <v>135</v>
      </c>
      <c r="J30" s="191">
        <f>D6-D7</f>
        <v>1.7000000000000002</v>
      </c>
    </row>
    <row r="31" spans="1:23">
      <c r="C31" s="189" t="s">
        <v>136</v>
      </c>
      <c r="D31" s="195">
        <f>D12</f>
        <v>11182</v>
      </c>
      <c r="E31" s="192"/>
      <c r="F31" s="189" t="s">
        <v>136</v>
      </c>
      <c r="G31" s="191">
        <f>H20</f>
        <v>14800</v>
      </c>
      <c r="H31" s="192"/>
      <c r="I31" s="189" t="s">
        <v>136</v>
      </c>
      <c r="J31" s="191">
        <f>H21</f>
        <v>28000</v>
      </c>
    </row>
    <row r="32" spans="1:23">
      <c r="C32" s="189" t="s">
        <v>137</v>
      </c>
      <c r="D32" s="193">
        <f>LOG(D26)</f>
        <v>6.7844577841318303</v>
      </c>
      <c r="E32" s="405"/>
      <c r="F32" s="406" t="s">
        <v>137</v>
      </c>
      <c r="G32" s="193">
        <f>LOG(G26)</f>
        <v>6.7844577841318303</v>
      </c>
      <c r="H32" s="405"/>
      <c r="I32" s="406" t="s">
        <v>137</v>
      </c>
      <c r="J32" s="193">
        <f>LOG(J26)</f>
        <v>6.7844577841318303</v>
      </c>
    </row>
    <row r="33" spans="3:10">
      <c r="C33" s="189" t="s">
        <v>137</v>
      </c>
      <c r="D33" s="193">
        <f>+D27*D28+9.36*LOG(D29+1)-0.2+((LOG(D30/(4.2-1.5))/(0.4+(1094/(D29+1)^5.19))))+2.32*LOG(D31)-8.07</f>
        <v>6.7844577203922896</v>
      </c>
      <c r="E33" s="405"/>
      <c r="F33" s="406" t="s">
        <v>137</v>
      </c>
      <c r="G33" s="193">
        <f>+G27*G28+9.36*LOG(G29+1)-0.2+((LOG(G30/(4.2-1.5))/(0.4+(1094/(G29+1)^5.19))))+2.32*LOG(G31)-8.07</f>
        <v>6.784457686578893</v>
      </c>
      <c r="H33" s="405"/>
      <c r="I33" s="406" t="s">
        <v>137</v>
      </c>
      <c r="J33" s="193">
        <f>+J27*J28+9.36*LOG(J29+1)-0.2+((LOG(J30/(4.2-1.5))/(0.4+(1094/(J29+1)^5.19))))+2.32*LOG(J31)-8.07</f>
        <v>6.7844576132225711</v>
      </c>
    </row>
    <row r="34" spans="3:10" ht="15.75" thickBot="1">
      <c r="C34" s="190" t="s">
        <v>138</v>
      </c>
      <c r="D34" s="194">
        <f>D32-D33</f>
        <v>6.3739540756557744E-8</v>
      </c>
      <c r="E34" s="192"/>
      <c r="F34" s="190" t="s">
        <v>138</v>
      </c>
      <c r="G34" s="194">
        <f>G32-G33</f>
        <v>9.7552937283751362E-8</v>
      </c>
      <c r="H34" s="192"/>
      <c r="I34" s="190" t="s">
        <v>138</v>
      </c>
      <c r="J34" s="194">
        <f>J32-J33</f>
        <v>1.7090925918950006E-7</v>
      </c>
    </row>
    <row r="36" spans="3:10" ht="15.75" thickBot="1"/>
    <row r="37" spans="3:10" ht="15.75" thickBot="1">
      <c r="C37" s="774" t="s">
        <v>28</v>
      </c>
      <c r="D37" s="775"/>
      <c r="E37" s="776"/>
      <c r="G37" s="777" t="s">
        <v>227</v>
      </c>
      <c r="H37" s="778"/>
      <c r="I37" s="779"/>
    </row>
    <row r="38" spans="3:10">
      <c r="C38" s="189" t="s">
        <v>134</v>
      </c>
      <c r="D38" s="162">
        <f>J29</f>
        <v>2.8953692126982822</v>
      </c>
      <c r="E38" s="164" t="s">
        <v>139</v>
      </c>
      <c r="G38" s="402" t="s">
        <v>232</v>
      </c>
      <c r="H38" s="88" t="s">
        <v>147</v>
      </c>
      <c r="I38" s="119">
        <v>0.42</v>
      </c>
    </row>
    <row r="39" spans="3:10">
      <c r="C39" s="189" t="s">
        <v>133</v>
      </c>
      <c r="D39" s="162">
        <f>G29</f>
        <v>3.6935772750080695</v>
      </c>
      <c r="E39" s="164" t="s">
        <v>140</v>
      </c>
      <c r="G39" s="400" t="s">
        <v>129</v>
      </c>
      <c r="H39" s="469" t="s">
        <v>148</v>
      </c>
      <c r="I39" s="164">
        <v>0.13500000000000001</v>
      </c>
    </row>
    <row r="40" spans="3:10" ht="15.75" thickBot="1">
      <c r="C40" s="179" t="s">
        <v>132</v>
      </c>
      <c r="D40" s="404">
        <f>D29</f>
        <v>4.0961399430059124</v>
      </c>
      <c r="E40" s="182" t="s">
        <v>141</v>
      </c>
      <c r="G40" s="401" t="s">
        <v>127</v>
      </c>
      <c r="H40" s="91" t="s">
        <v>149</v>
      </c>
      <c r="I40" s="165">
        <v>0.11</v>
      </c>
    </row>
    <row r="41" spans="3:10" ht="15.75" thickBot="1">
      <c r="C41" s="788" t="s">
        <v>142</v>
      </c>
      <c r="D41" s="789"/>
      <c r="E41" s="790"/>
    </row>
    <row r="42" spans="3:10" ht="15.75" thickBot="1">
      <c r="C42" s="180" t="s">
        <v>143</v>
      </c>
      <c r="D42" s="163">
        <v>400000</v>
      </c>
      <c r="E42" s="181" t="s">
        <v>144</v>
      </c>
      <c r="F42" s="255" t="s">
        <v>145</v>
      </c>
    </row>
    <row r="45" spans="3:10">
      <c r="C45" s="255" t="s">
        <v>146</v>
      </c>
    </row>
    <row r="46" spans="3:10" ht="15.75" thickBot="1"/>
    <row r="47" spans="3:10" ht="15.75" thickBot="1">
      <c r="C47" s="760" t="s">
        <v>249</v>
      </c>
      <c r="D47" s="761"/>
      <c r="E47" s="761"/>
      <c r="F47" s="762"/>
    </row>
    <row r="48" spans="3:10">
      <c r="C48" s="200" t="s">
        <v>139</v>
      </c>
      <c r="D48" s="434">
        <f>D38</f>
        <v>2.8953692126982822</v>
      </c>
      <c r="E48" s="791" t="s">
        <v>150</v>
      </c>
      <c r="F48" s="792"/>
    </row>
    <row r="49" spans="3:11">
      <c r="C49" s="202" t="s">
        <v>147</v>
      </c>
      <c r="D49" s="209">
        <f>I38</f>
        <v>0.42</v>
      </c>
      <c r="E49" s="198" t="s">
        <v>151</v>
      </c>
      <c r="F49" s="203" t="s">
        <v>152</v>
      </c>
    </row>
    <row r="50" spans="3:11">
      <c r="C50" s="202" t="s">
        <v>153</v>
      </c>
      <c r="D50" s="207">
        <f>D48/D49</f>
        <v>6.8937362207101955</v>
      </c>
      <c r="E50" s="435">
        <f>F50/2.54</f>
        <v>7.0866141732283463</v>
      </c>
      <c r="F50" s="438">
        <v>18</v>
      </c>
      <c r="G50" s="208">
        <f>D50*2.54</f>
        <v>17.510090000603896</v>
      </c>
    </row>
    <row r="51" spans="3:11" ht="15.75" thickBot="1">
      <c r="C51" s="204" t="s">
        <v>154</v>
      </c>
      <c r="D51" s="436">
        <f>D49*E50</f>
        <v>2.9763779527559056</v>
      </c>
      <c r="E51" s="797" t="s">
        <v>155</v>
      </c>
      <c r="F51" s="798"/>
    </row>
    <row r="52" spans="3:11" ht="15.75" thickBot="1">
      <c r="C52" s="815" t="s">
        <v>250</v>
      </c>
      <c r="D52" s="816"/>
      <c r="E52" s="816"/>
      <c r="F52" s="817"/>
    </row>
    <row r="53" spans="3:11">
      <c r="C53" s="200" t="s">
        <v>156</v>
      </c>
      <c r="D53" s="205">
        <v>0.8</v>
      </c>
      <c r="E53" s="805" t="s">
        <v>157</v>
      </c>
      <c r="F53" s="806"/>
    </row>
    <row r="54" spans="3:11">
      <c r="C54" s="202" t="s">
        <v>140</v>
      </c>
      <c r="D54" s="209">
        <f>D39</f>
        <v>3.6935772750080695</v>
      </c>
      <c r="E54" s="807"/>
      <c r="F54" s="808"/>
    </row>
    <row r="55" spans="3:11">
      <c r="C55" s="202" t="s">
        <v>148</v>
      </c>
      <c r="D55" s="199">
        <f>I39</f>
        <v>0.13500000000000001</v>
      </c>
      <c r="E55" s="198" t="s">
        <v>151</v>
      </c>
      <c r="F55" s="203" t="s">
        <v>152</v>
      </c>
    </row>
    <row r="56" spans="3:11">
      <c r="C56" s="202" t="s">
        <v>158</v>
      </c>
      <c r="D56" s="207">
        <f>(D54-D51)/(D55*D53)</f>
        <v>6.6407344652978137</v>
      </c>
      <c r="E56" s="435">
        <f>F56/2.54</f>
        <v>7.8740157480314963</v>
      </c>
      <c r="F56" s="438">
        <v>20</v>
      </c>
      <c r="G56" s="208">
        <f>D56*2.54</f>
        <v>16.867465541856447</v>
      </c>
    </row>
    <row r="57" spans="3:11">
      <c r="C57" s="202" t="s">
        <v>159</v>
      </c>
      <c r="D57" s="207">
        <f>D55*D53*E56</f>
        <v>0.85039370078740173</v>
      </c>
      <c r="E57" s="793"/>
      <c r="F57" s="794"/>
    </row>
    <row r="58" spans="3:11" ht="15.75" thickBot="1">
      <c r="C58" s="204" t="s">
        <v>160</v>
      </c>
      <c r="D58" s="436">
        <f>D51+D57</f>
        <v>3.8267716535433074</v>
      </c>
      <c r="E58" s="795" t="s">
        <v>155</v>
      </c>
      <c r="F58" s="796"/>
    </row>
    <row r="59" spans="3:11" ht="15.75" thickBot="1">
      <c r="C59" s="760" t="s">
        <v>251</v>
      </c>
      <c r="D59" s="761"/>
      <c r="E59" s="761"/>
      <c r="F59" s="762"/>
    </row>
    <row r="60" spans="3:11">
      <c r="C60" s="200" t="s">
        <v>141</v>
      </c>
      <c r="D60" s="201">
        <f>D40</f>
        <v>4.0961399430059124</v>
      </c>
      <c r="E60" s="791" t="s">
        <v>161</v>
      </c>
      <c r="F60" s="792"/>
    </row>
    <row r="61" spans="3:11">
      <c r="C61" s="202" t="s">
        <v>149</v>
      </c>
      <c r="D61" s="199">
        <f>I40</f>
        <v>0.11</v>
      </c>
      <c r="E61" s="198" t="s">
        <v>151</v>
      </c>
      <c r="F61" s="203" t="s">
        <v>152</v>
      </c>
    </row>
    <row r="62" spans="3:11">
      <c r="C62" s="202" t="s">
        <v>162</v>
      </c>
      <c r="D62" s="207">
        <f>(D60-D58)/(D61*D53)</f>
        <v>3.0610032893477843</v>
      </c>
      <c r="E62" s="435">
        <f>F62/2.54</f>
        <v>3.9370078740157481</v>
      </c>
      <c r="F62" s="438">
        <v>10</v>
      </c>
      <c r="G62" s="208">
        <f>D62*2.54</f>
        <v>7.7749483549433727</v>
      </c>
    </row>
    <row r="63" spans="3:11" ht="15.75" thickBot="1">
      <c r="C63" s="403" t="s">
        <v>192</v>
      </c>
      <c r="D63" s="437">
        <f>D61*D60*E62</f>
        <v>1.7739188729553164</v>
      </c>
      <c r="E63" s="780" t="s">
        <v>155</v>
      </c>
      <c r="F63" s="781"/>
    </row>
    <row r="64" spans="3:11" ht="15.75" thickBot="1">
      <c r="D64" s="208">
        <f>D58+D63</f>
        <v>5.6006905264986235</v>
      </c>
      <c r="H64" s="760" t="s">
        <v>252</v>
      </c>
      <c r="I64" s="761"/>
      <c r="J64" s="761"/>
      <c r="K64" s="762"/>
    </row>
    <row r="65" spans="1:17">
      <c r="E65" s="473"/>
      <c r="F65" s="474"/>
      <c r="H65" s="786" t="s">
        <v>163</v>
      </c>
      <c r="I65" s="787"/>
      <c r="J65" s="41">
        <f>J66+J67+J68</f>
        <v>48</v>
      </c>
      <c r="K65" s="439" t="s">
        <v>152</v>
      </c>
    </row>
    <row r="66" spans="1:17">
      <c r="E66" s="475"/>
      <c r="F66" s="475"/>
      <c r="H66" s="782" t="s">
        <v>164</v>
      </c>
      <c r="I66" s="783"/>
      <c r="J66" s="440">
        <f>F50</f>
        <v>18</v>
      </c>
      <c r="K66" s="164" t="s">
        <v>152</v>
      </c>
    </row>
    <row r="67" spans="1:17">
      <c r="E67" s="475"/>
      <c r="F67" s="475"/>
      <c r="H67" s="782" t="s">
        <v>165</v>
      </c>
      <c r="I67" s="783"/>
      <c r="J67" s="440">
        <f>F56</f>
        <v>20</v>
      </c>
      <c r="K67" s="164" t="s">
        <v>152</v>
      </c>
    </row>
    <row r="68" spans="1:17" ht="15.75" thickBot="1">
      <c r="E68" s="475"/>
      <c r="F68" s="475"/>
      <c r="H68" s="784" t="s">
        <v>166</v>
      </c>
      <c r="I68" s="785"/>
      <c r="J68" s="441">
        <f>F62</f>
        <v>10</v>
      </c>
      <c r="K68" s="165" t="s">
        <v>152</v>
      </c>
    </row>
    <row r="69" spans="1:17">
      <c r="E69" s="143"/>
      <c r="F69" s="476"/>
    </row>
    <row r="75" spans="1:17"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</row>
    <row r="76" spans="1:17">
      <c r="B76" s="151" t="s">
        <v>259</v>
      </c>
    </row>
    <row r="77" spans="1:17">
      <c r="B77" s="151"/>
    </row>
    <row r="78" spans="1:17" ht="15.75" thickBot="1"/>
    <row r="79" spans="1:17" ht="15.75" thickBot="1">
      <c r="A79" s="822" t="s">
        <v>112</v>
      </c>
      <c r="B79" s="823"/>
      <c r="C79" s="823"/>
      <c r="D79" s="824"/>
      <c r="E79" s="235"/>
      <c r="F79" s="159"/>
      <c r="I79" s="235"/>
      <c r="J79" s="235"/>
      <c r="K79" s="235"/>
    </row>
    <row r="80" spans="1:17">
      <c r="A80" s="825" t="s">
        <v>229</v>
      </c>
      <c r="B80" s="826"/>
      <c r="C80" s="449" t="s">
        <v>230</v>
      </c>
      <c r="D80" s="450" t="s">
        <v>231</v>
      </c>
      <c r="E80" s="235"/>
      <c r="F80" s="159"/>
      <c r="I80" s="235"/>
      <c r="J80" s="235"/>
      <c r="K80" s="235"/>
    </row>
    <row r="81" spans="1:11">
      <c r="A81" s="766" t="s">
        <v>167</v>
      </c>
      <c r="B81" s="767"/>
      <c r="C81" s="444" t="s">
        <v>113</v>
      </c>
      <c r="D81" s="477">
        <f>trafico!T43</f>
        <v>11275859.844927531</v>
      </c>
      <c r="E81" s="453"/>
      <c r="F81" s="479"/>
      <c r="I81" s="236"/>
      <c r="J81" s="237"/>
      <c r="K81" s="160"/>
    </row>
    <row r="82" spans="1:11" ht="15.75" thickBot="1">
      <c r="A82" s="766" t="s">
        <v>260</v>
      </c>
      <c r="B82" s="767"/>
      <c r="C82" s="444" t="s">
        <v>113</v>
      </c>
      <c r="D82" s="477">
        <f>trafico!V43</f>
        <v>5168309.329922311</v>
      </c>
      <c r="E82" s="453"/>
      <c r="F82" s="178"/>
      <c r="I82" s="236"/>
      <c r="J82" s="237"/>
      <c r="K82" s="160"/>
    </row>
    <row r="83" spans="1:11" hidden="1">
      <c r="A83" s="827" t="s">
        <v>114</v>
      </c>
      <c r="B83" s="828"/>
      <c r="C83" s="520" t="s">
        <v>115</v>
      </c>
      <c r="D83" s="445">
        <v>4.2</v>
      </c>
      <c r="I83" s="160"/>
      <c r="J83" s="160"/>
      <c r="K83" s="160"/>
    </row>
    <row r="84" spans="1:11" hidden="1">
      <c r="A84" s="442" t="s">
        <v>116</v>
      </c>
      <c r="B84" s="443"/>
      <c r="C84" s="520" t="s">
        <v>117</v>
      </c>
      <c r="D84" s="445">
        <v>2.5</v>
      </c>
    </row>
    <row r="85" spans="1:11" hidden="1">
      <c r="A85" s="442" t="s">
        <v>253</v>
      </c>
      <c r="B85" s="443"/>
      <c r="C85" s="520" t="s">
        <v>117</v>
      </c>
      <c r="D85" s="445">
        <v>1.5</v>
      </c>
    </row>
    <row r="86" spans="1:11" hidden="1">
      <c r="A86" s="890" t="s">
        <v>168</v>
      </c>
      <c r="B86" s="891"/>
      <c r="C86" s="520" t="s">
        <v>119</v>
      </c>
      <c r="D86" s="445">
        <v>0.5</v>
      </c>
    </row>
    <row r="87" spans="1:11" hidden="1">
      <c r="A87" s="820" t="s">
        <v>120</v>
      </c>
      <c r="B87" s="821"/>
      <c r="C87" s="520" t="s">
        <v>169</v>
      </c>
      <c r="D87" s="446">
        <v>0.9</v>
      </c>
    </row>
    <row r="88" spans="1:11" hidden="1">
      <c r="A88" s="820" t="s">
        <v>122</v>
      </c>
      <c r="B88" s="821"/>
      <c r="C88" s="521" t="s">
        <v>123</v>
      </c>
      <c r="D88" s="447">
        <v>1.2815515655446006</v>
      </c>
      <c r="E88" s="255" t="s">
        <v>124</v>
      </c>
    </row>
    <row r="89" spans="1:11" ht="18" hidden="1">
      <c r="A89" s="820" t="s">
        <v>235</v>
      </c>
      <c r="B89" s="821"/>
      <c r="C89" s="448" t="s">
        <v>238</v>
      </c>
      <c r="D89" s="451">
        <f>D12</f>
        <v>11182</v>
      </c>
    </row>
    <row r="90" spans="1:11" ht="15.75" hidden="1" customHeight="1" thickBot="1">
      <c r="A90" s="831" t="s">
        <v>273</v>
      </c>
      <c r="B90" s="832"/>
      <c r="C90" s="240" t="s">
        <v>234</v>
      </c>
      <c r="D90" s="480">
        <f>D85-D86</f>
        <v>1</v>
      </c>
    </row>
    <row r="91" spans="1:11" ht="15.75" thickBot="1">
      <c r="A91" s="813" t="s">
        <v>229</v>
      </c>
      <c r="B91" s="814"/>
      <c r="C91" s="471" t="s">
        <v>230</v>
      </c>
      <c r="D91" s="430" t="s">
        <v>231</v>
      </c>
    </row>
    <row r="92" spans="1:11" ht="15.75" thickBot="1">
      <c r="A92" s="833" t="s">
        <v>263</v>
      </c>
      <c r="B92" s="834"/>
      <c r="C92" s="834"/>
      <c r="D92" s="835"/>
    </row>
    <row r="93" spans="1:11">
      <c r="A93" s="836" t="s">
        <v>241</v>
      </c>
      <c r="B93" s="837"/>
      <c r="C93" s="411" t="s">
        <v>28</v>
      </c>
      <c r="D93" s="486">
        <f>G108</f>
        <v>3.9921822364474293</v>
      </c>
    </row>
    <row r="94" spans="1:11" ht="15" customHeight="1">
      <c r="A94" s="838" t="s">
        <v>256</v>
      </c>
      <c r="B94" s="839"/>
      <c r="C94" s="239" t="s">
        <v>255</v>
      </c>
      <c r="D94" s="420">
        <f>D82</f>
        <v>5168309.329922311</v>
      </c>
    </row>
    <row r="95" spans="1:11" ht="15.75" thickBot="1">
      <c r="A95" s="840" t="s">
        <v>257</v>
      </c>
      <c r="B95" s="841"/>
      <c r="C95" s="240" t="s">
        <v>254</v>
      </c>
      <c r="D95" s="478">
        <f>G122</f>
        <v>10418084.117983149</v>
      </c>
    </row>
    <row r="96" spans="1:11" ht="15.75" thickBot="1">
      <c r="A96" s="833" t="s">
        <v>262</v>
      </c>
      <c r="B96" s="834"/>
      <c r="C96" s="834"/>
      <c r="D96" s="835"/>
    </row>
    <row r="97" spans="1:10">
      <c r="A97" s="836" t="s">
        <v>241</v>
      </c>
      <c r="B97" s="837"/>
      <c r="C97" s="411" t="s">
        <v>28</v>
      </c>
      <c r="D97" s="486">
        <f>D108</f>
        <v>4.0982169950902065</v>
      </c>
    </row>
    <row r="98" spans="1:10" ht="15" customHeight="1">
      <c r="A98" s="838" t="s">
        <v>256</v>
      </c>
      <c r="B98" s="839"/>
      <c r="C98" s="239" t="s">
        <v>255</v>
      </c>
      <c r="D98" s="420">
        <f>D81-D82</f>
        <v>6107550.5150052197</v>
      </c>
    </row>
    <row r="99" spans="1:10" ht="15.75" customHeight="1" thickBot="1">
      <c r="A99" s="840" t="s">
        <v>257</v>
      </c>
      <c r="B99" s="841"/>
      <c r="C99" s="240" t="s">
        <v>254</v>
      </c>
      <c r="D99" s="478">
        <f>D122</f>
        <v>12683084.049348814</v>
      </c>
      <c r="E99" s="170"/>
      <c r="F99" s="170"/>
    </row>
    <row r="100" spans="1:10">
      <c r="C100" s="255" t="s">
        <v>170</v>
      </c>
      <c r="D100" s="159"/>
      <c r="E100" s="170"/>
      <c r="F100" s="170"/>
    </row>
    <row r="101" spans="1:10">
      <c r="D101" s="159"/>
      <c r="E101" s="170"/>
      <c r="F101" s="170"/>
    </row>
    <row r="102" spans="1:10" ht="15.75" thickBot="1">
      <c r="E102" s="166"/>
      <c r="H102" s="166"/>
    </row>
    <row r="103" spans="1:10" ht="15.75" thickBot="1">
      <c r="C103" s="188" t="s">
        <v>47</v>
      </c>
      <c r="D103" s="186" t="s">
        <v>171</v>
      </c>
      <c r="E103" s="166"/>
      <c r="F103" s="470" t="s">
        <v>47</v>
      </c>
      <c r="G103" s="187" t="s">
        <v>258</v>
      </c>
      <c r="H103" s="166"/>
      <c r="I103" s="454"/>
      <c r="J103" s="454"/>
    </row>
    <row r="104" spans="1:10">
      <c r="C104" s="829" t="s">
        <v>132</v>
      </c>
      <c r="D104" s="830"/>
      <c r="E104" s="192"/>
      <c r="F104" s="829" t="s">
        <v>132</v>
      </c>
      <c r="G104" s="830"/>
      <c r="H104" s="192"/>
      <c r="I104" s="454"/>
      <c r="J104" s="454"/>
    </row>
    <row r="105" spans="1:10">
      <c r="C105" s="189" t="s">
        <v>113</v>
      </c>
      <c r="D105" s="195">
        <f>D98</f>
        <v>6107550.5150052197</v>
      </c>
      <c r="E105" s="183"/>
      <c r="F105" s="184" t="s">
        <v>113</v>
      </c>
      <c r="G105" s="195">
        <f>D94</f>
        <v>5168309.329922311</v>
      </c>
      <c r="H105" s="183"/>
      <c r="I105" s="454"/>
      <c r="J105" s="454"/>
    </row>
    <row r="106" spans="1:10">
      <c r="C106" s="189" t="s">
        <v>123</v>
      </c>
      <c r="D106" s="193">
        <f>-D88</f>
        <v>-1.2815515655446006</v>
      </c>
      <c r="E106" s="192"/>
      <c r="F106" s="189" t="s">
        <v>123</v>
      </c>
      <c r="G106" s="193">
        <f>-D88</f>
        <v>-1.2815515655446006</v>
      </c>
      <c r="H106" s="192"/>
      <c r="I106" s="454"/>
      <c r="J106" s="454"/>
    </row>
    <row r="107" spans="1:10">
      <c r="C107" s="189" t="s">
        <v>119</v>
      </c>
      <c r="D107" s="191">
        <f>D86</f>
        <v>0.5</v>
      </c>
      <c r="E107" s="192"/>
      <c r="F107" s="189" t="s">
        <v>119</v>
      </c>
      <c r="G107" s="191">
        <f>D86</f>
        <v>0.5</v>
      </c>
      <c r="H107" s="192"/>
      <c r="I107" s="454"/>
      <c r="J107" s="454"/>
    </row>
    <row r="108" spans="1:10">
      <c r="C108" s="189" t="s">
        <v>28</v>
      </c>
      <c r="D108" s="176">
        <v>4.0982169950902065</v>
      </c>
      <c r="E108" s="192"/>
      <c r="F108" s="189" t="s">
        <v>28</v>
      </c>
      <c r="G108" s="176">
        <v>3.9921822364474293</v>
      </c>
      <c r="H108" s="192"/>
      <c r="I108" s="454"/>
      <c r="J108" s="454"/>
    </row>
    <row r="109" spans="1:10">
      <c r="C109" s="189" t="s">
        <v>135</v>
      </c>
      <c r="D109" s="191">
        <f>D83-D84</f>
        <v>1.7000000000000002</v>
      </c>
      <c r="E109" s="192"/>
      <c r="F109" s="189" t="s">
        <v>135</v>
      </c>
      <c r="G109" s="191">
        <f>D83-D84</f>
        <v>1.7000000000000002</v>
      </c>
      <c r="H109" s="192"/>
      <c r="I109" s="454"/>
      <c r="J109" s="454"/>
    </row>
    <row r="110" spans="1:10">
      <c r="C110" s="189" t="s">
        <v>136</v>
      </c>
      <c r="D110" s="158">
        <f>D89</f>
        <v>11182</v>
      </c>
      <c r="E110" s="192"/>
      <c r="F110" s="189" t="s">
        <v>136</v>
      </c>
      <c r="G110" s="158">
        <f>D89</f>
        <v>11182</v>
      </c>
      <c r="H110" s="192"/>
      <c r="I110" s="454"/>
      <c r="J110" s="454"/>
    </row>
    <row r="111" spans="1:10">
      <c r="C111" s="189" t="s">
        <v>137</v>
      </c>
      <c r="D111" s="481">
        <f>LOG(D105)</f>
        <v>6.7858670676712283</v>
      </c>
      <c r="E111" s="192"/>
      <c r="F111" s="189" t="s">
        <v>137</v>
      </c>
      <c r="G111" s="481">
        <f>LOG(G105)</f>
        <v>6.7133484988450087</v>
      </c>
      <c r="H111" s="192"/>
      <c r="I111" s="454"/>
      <c r="J111" s="454"/>
    </row>
    <row r="112" spans="1:10">
      <c r="C112" s="189" t="s">
        <v>137</v>
      </c>
      <c r="D112" s="481">
        <f>+D106*D107+9.36*LOG(D108+1)-0.2+((LOG(D109/(4.2-1.5))/(0.4+(1094/(D108+1)^5.19))))+2.32*LOG(D110)-8.07</f>
        <v>6.7858669906944371</v>
      </c>
      <c r="E112" s="192"/>
      <c r="F112" s="189" t="s">
        <v>137</v>
      </c>
      <c r="G112" s="481">
        <f>+G106*G107+9.36*LOG(G108+1)-0.2+((LOG(G109/(4.2-1.5))/(0.4+(1094/(G108+1)^5.19))))+2.32*LOG(G110)-8.07</f>
        <v>6.713348413311552</v>
      </c>
      <c r="H112" s="192"/>
      <c r="I112" s="454"/>
      <c r="J112" s="454"/>
    </row>
    <row r="113" spans="3:17" ht="15.75" thickBot="1">
      <c r="C113" s="190" t="s">
        <v>138</v>
      </c>
      <c r="D113" s="175">
        <f>D111-D112</f>
        <v>7.6976791163474445E-8</v>
      </c>
      <c r="E113" s="192"/>
      <c r="F113" s="190" t="s">
        <v>138</v>
      </c>
      <c r="G113" s="175">
        <f>G111-G112</f>
        <v>8.5533456761766047E-8</v>
      </c>
      <c r="H113" s="192"/>
      <c r="I113" s="454"/>
      <c r="J113" s="454"/>
    </row>
    <row r="114" spans="3:17" ht="15.75" thickBot="1">
      <c r="C114" s="166"/>
      <c r="D114" s="166"/>
      <c r="E114" s="166"/>
      <c r="F114" s="166"/>
      <c r="G114" s="166"/>
      <c r="H114" s="166"/>
      <c r="I114" s="454"/>
      <c r="J114" s="454"/>
    </row>
    <row r="115" spans="3:17">
      <c r="C115" s="157" t="s">
        <v>123</v>
      </c>
      <c r="D115" s="238">
        <f>D106</f>
        <v>-1.2815515655446006</v>
      </c>
      <c r="E115" s="192"/>
      <c r="F115" s="157" t="s">
        <v>123</v>
      </c>
      <c r="G115" s="238">
        <f>G106</f>
        <v>-1.2815515655446006</v>
      </c>
      <c r="H115" s="192"/>
      <c r="I115" s="454"/>
      <c r="J115" s="454"/>
    </row>
    <row r="116" spans="3:17">
      <c r="C116" s="189" t="s">
        <v>119</v>
      </c>
      <c r="D116" s="191">
        <f>D107</f>
        <v>0.5</v>
      </c>
      <c r="E116" s="192"/>
      <c r="F116" s="189" t="s">
        <v>119</v>
      </c>
      <c r="G116" s="191">
        <f>G107</f>
        <v>0.5</v>
      </c>
      <c r="H116" s="192"/>
      <c r="I116" s="454"/>
      <c r="J116" s="454"/>
    </row>
    <row r="117" spans="3:17">
      <c r="C117" s="189" t="s">
        <v>28</v>
      </c>
      <c r="D117" s="185">
        <f>D108</f>
        <v>4.0982169950902065</v>
      </c>
      <c r="E117" s="160"/>
      <c r="F117" s="177" t="s">
        <v>28</v>
      </c>
      <c r="G117" s="185">
        <f>G108</f>
        <v>3.9921822364474293</v>
      </c>
      <c r="H117" s="160"/>
      <c r="I117" s="454"/>
      <c r="J117" s="454"/>
    </row>
    <row r="118" spans="3:17" ht="15.75" thickBot="1">
      <c r="C118" s="189" t="s">
        <v>135</v>
      </c>
      <c r="D118" s="191">
        <f>D83-D85</f>
        <v>2.7</v>
      </c>
      <c r="E118" s="192"/>
      <c r="F118" s="189" t="s">
        <v>135</v>
      </c>
      <c r="G118" s="191">
        <f>D83-D85</f>
        <v>2.7</v>
      </c>
      <c r="H118" s="192"/>
      <c r="I118" s="454"/>
      <c r="J118" s="454"/>
    </row>
    <row r="119" spans="3:17" ht="15.75" thickBot="1">
      <c r="C119" s="189" t="s">
        <v>136</v>
      </c>
      <c r="D119" s="158">
        <f>D89</f>
        <v>11182</v>
      </c>
      <c r="E119" s="192"/>
      <c r="F119" s="189" t="s">
        <v>136</v>
      </c>
      <c r="G119" s="158">
        <f>D89</f>
        <v>11182</v>
      </c>
      <c r="H119" s="192"/>
      <c r="I119" s="454"/>
      <c r="J119" s="813" t="s">
        <v>229</v>
      </c>
      <c r="K119" s="814"/>
      <c r="L119" s="814"/>
      <c r="M119" s="487" t="s">
        <v>230</v>
      </c>
      <c r="N119" s="430" t="s">
        <v>231</v>
      </c>
    </row>
    <row r="120" spans="3:17" ht="15.75" thickBot="1">
      <c r="C120" s="190" t="s">
        <v>137</v>
      </c>
      <c r="D120" s="452">
        <f>+D115*D116+9.36*LOG(D117+1)-0.2+((LOG(D118/(4.2-1.5))/(0.4+(1094/(D117+1)^5.19))))+2.32*LOG(D119)-8.07</f>
        <v>7.1032248704823679</v>
      </c>
      <c r="E120" s="192"/>
      <c r="F120" s="190" t="s">
        <v>137</v>
      </c>
      <c r="G120" s="167">
        <f>+G115*G116+9.36*LOG(G117+1)-0.2+((LOG(G118/(4.2-1.5))/(0.4+(1094/(G117+1)^5.19))))+2.32*LOG(G119)-8.07</f>
        <v>7.0177878597033612</v>
      </c>
      <c r="H120" s="192"/>
      <c r="I120" s="454"/>
      <c r="J120" s="842" t="s">
        <v>275</v>
      </c>
      <c r="K120" s="843"/>
      <c r="L120" s="843"/>
      <c r="M120" s="490" t="s">
        <v>267</v>
      </c>
      <c r="N120" s="491">
        <v>3.9</v>
      </c>
      <c r="O120" s="170"/>
      <c r="P120" s="159"/>
    </row>
    <row r="121" spans="3:17" ht="18">
      <c r="C121" s="166"/>
      <c r="E121" s="192"/>
      <c r="H121" s="192"/>
      <c r="I121" s="454"/>
      <c r="J121" s="844" t="s">
        <v>276</v>
      </c>
      <c r="K121" s="845"/>
      <c r="L121" s="845"/>
      <c r="M121" s="488" t="s">
        <v>268</v>
      </c>
      <c r="N121" s="423">
        <f>N120*2.54</f>
        <v>9.9060000000000006</v>
      </c>
      <c r="O121" s="170"/>
      <c r="P121" s="159"/>
    </row>
    <row r="122" spans="3:17" ht="18">
      <c r="C122" s="229" t="s">
        <v>113</v>
      </c>
      <c r="D122" s="172">
        <f>10^D120</f>
        <v>12683084.049348814</v>
      </c>
      <c r="E122" s="192"/>
      <c r="F122" s="229" t="s">
        <v>113</v>
      </c>
      <c r="G122" s="172">
        <f>10^G120</f>
        <v>10418084.117983149</v>
      </c>
      <c r="H122" s="192"/>
      <c r="I122" s="454"/>
      <c r="J122" s="844" t="s">
        <v>271</v>
      </c>
      <c r="K122" s="845"/>
      <c r="L122" s="845"/>
      <c r="M122" s="488" t="s">
        <v>269</v>
      </c>
      <c r="N122" s="427">
        <v>400000</v>
      </c>
      <c r="O122" s="170"/>
      <c r="P122" s="159"/>
    </row>
    <row r="123" spans="3:17" ht="18.75" thickBot="1">
      <c r="E123" s="192"/>
      <c r="H123" s="192"/>
      <c r="J123" s="846" t="s">
        <v>166</v>
      </c>
      <c r="K123" s="847"/>
      <c r="L123" s="847"/>
      <c r="M123" s="240" t="s">
        <v>270</v>
      </c>
      <c r="N123" s="489">
        <f>0.0045*N121*(POWER(N122,(1/3)))</f>
        <v>3.2844614422978498</v>
      </c>
      <c r="O123" s="170"/>
      <c r="P123" s="159"/>
    </row>
    <row r="124" spans="3:17" ht="15.75" thickBot="1"/>
    <row r="125" spans="3:17" ht="30.75" thickBot="1">
      <c r="F125" s="236"/>
      <c r="G125" s="465" t="s">
        <v>221</v>
      </c>
      <c r="H125" s="466" t="s">
        <v>28</v>
      </c>
      <c r="I125" s="466" t="s">
        <v>172</v>
      </c>
      <c r="J125" s="466" t="s">
        <v>173</v>
      </c>
      <c r="K125" s="466" t="s">
        <v>174</v>
      </c>
      <c r="L125" s="466" t="s">
        <v>175</v>
      </c>
      <c r="M125" s="466" t="s">
        <v>176</v>
      </c>
      <c r="N125" s="467" t="s">
        <v>272</v>
      </c>
      <c r="O125" s="466" t="s">
        <v>151</v>
      </c>
      <c r="P125" s="466" t="s">
        <v>152</v>
      </c>
      <c r="Q125" s="468" t="s">
        <v>177</v>
      </c>
    </row>
    <row r="126" spans="3:17">
      <c r="F126" s="236"/>
      <c r="G126" s="458" t="s">
        <v>266</v>
      </c>
      <c r="H126" s="459"/>
      <c r="I126" s="459"/>
      <c r="J126" s="459"/>
      <c r="K126" s="459"/>
      <c r="L126" s="459"/>
      <c r="M126" s="501">
        <f>N123</f>
        <v>3.2844614422978498</v>
      </c>
      <c r="N126" s="497"/>
      <c r="O126" s="497"/>
      <c r="P126" s="497"/>
      <c r="Q126" s="498"/>
    </row>
    <row r="127" spans="3:17">
      <c r="F127" s="492"/>
      <c r="G127" s="495">
        <v>10</v>
      </c>
      <c r="H127" s="494">
        <f>D93</f>
        <v>3.9921822364474293</v>
      </c>
      <c r="I127" s="460">
        <f>D94</f>
        <v>5168309.329922311</v>
      </c>
      <c r="J127" s="460">
        <f>D95</f>
        <v>10418084.117983149</v>
      </c>
      <c r="K127" s="461">
        <f>100*(1-(I127/J127))</f>
        <v>50.390980996198266</v>
      </c>
      <c r="L127" s="461">
        <f>+-0.000056*(K127*K127)+0.0106*K127+0.5</f>
        <v>0.89194634447718557</v>
      </c>
      <c r="M127" s="483">
        <f>L127*H127</f>
        <v>3.5608123522860398</v>
      </c>
      <c r="N127" s="483">
        <f>H127-M126</f>
        <v>0.70772079414957956</v>
      </c>
      <c r="O127" s="483">
        <f>N127/I38</f>
        <v>1.6850495098799514</v>
      </c>
      <c r="P127" s="483">
        <f>O127*2.54</f>
        <v>4.2800257550950764</v>
      </c>
      <c r="Q127" s="485">
        <v>5</v>
      </c>
    </row>
    <row r="128" spans="3:17" ht="15.75" thickBot="1">
      <c r="F128" s="492"/>
      <c r="G128" s="496">
        <v>20</v>
      </c>
      <c r="H128" s="464">
        <f>D97</f>
        <v>4.0982169950902065</v>
      </c>
      <c r="I128" s="462">
        <f>D98</f>
        <v>6107550.5150052197</v>
      </c>
      <c r="J128" s="462">
        <f>D99</f>
        <v>12683084.049348814</v>
      </c>
      <c r="K128" s="463">
        <f>100*(1-(I128/J128))</f>
        <v>51.844910187133877</v>
      </c>
      <c r="L128" s="463">
        <f>+-0.000056*(K128*K128)+0.0106*K128+0.5</f>
        <v>0.89903394409414839</v>
      </c>
      <c r="M128" s="484">
        <f>L128*H128</f>
        <v>3.6844361888496175</v>
      </c>
      <c r="N128" s="484">
        <f>H128-M127</f>
        <v>0.53740464280416678</v>
      </c>
      <c r="O128" s="484">
        <f>N128/I38</f>
        <v>1.2795348638194448</v>
      </c>
      <c r="P128" s="484">
        <f>O128*2.54</f>
        <v>3.25001855410139</v>
      </c>
      <c r="Q128" s="493">
        <v>5</v>
      </c>
    </row>
  </sheetData>
  <mergeCells count="65">
    <mergeCell ref="J120:L120"/>
    <mergeCell ref="J121:L121"/>
    <mergeCell ref="J122:L122"/>
    <mergeCell ref="J123:L123"/>
    <mergeCell ref="J119:L119"/>
    <mergeCell ref="F104:G104"/>
    <mergeCell ref="A90:B90"/>
    <mergeCell ref="A91:B91"/>
    <mergeCell ref="A92:D92"/>
    <mergeCell ref="A93:B93"/>
    <mergeCell ref="A94:B94"/>
    <mergeCell ref="A95:B95"/>
    <mergeCell ref="A96:D96"/>
    <mergeCell ref="A97:B97"/>
    <mergeCell ref="A98:B98"/>
    <mergeCell ref="A99:B99"/>
    <mergeCell ref="C104:D104"/>
    <mergeCell ref="A89:B89"/>
    <mergeCell ref="H66:I66"/>
    <mergeCell ref="H67:I67"/>
    <mergeCell ref="H68:I68"/>
    <mergeCell ref="A79:D79"/>
    <mergeCell ref="A80:B80"/>
    <mergeCell ref="A81:B81"/>
    <mergeCell ref="A82:B82"/>
    <mergeCell ref="A83:B83"/>
    <mergeCell ref="A86:B86"/>
    <mergeCell ref="A87:B87"/>
    <mergeCell ref="A88:B88"/>
    <mergeCell ref="A12:B12"/>
    <mergeCell ref="C41:E41"/>
    <mergeCell ref="A14:B14"/>
    <mergeCell ref="A15:B15"/>
    <mergeCell ref="A16:B16"/>
    <mergeCell ref="A17:B17"/>
    <mergeCell ref="A18:B18"/>
    <mergeCell ref="A22:B22"/>
    <mergeCell ref="C25:D25"/>
    <mergeCell ref="C37:E37"/>
    <mergeCell ref="A13:B13"/>
    <mergeCell ref="A7:B7"/>
    <mergeCell ref="A8:B8"/>
    <mergeCell ref="A9:B9"/>
    <mergeCell ref="A10:B10"/>
    <mergeCell ref="A11:B11"/>
    <mergeCell ref="A2:D2"/>
    <mergeCell ref="A3:B3"/>
    <mergeCell ref="A4:B4"/>
    <mergeCell ref="A5:B5"/>
    <mergeCell ref="A6:B6"/>
    <mergeCell ref="F25:G25"/>
    <mergeCell ref="I25:J25"/>
    <mergeCell ref="G37:I37"/>
    <mergeCell ref="H65:I65"/>
    <mergeCell ref="C47:F47"/>
    <mergeCell ref="E48:F48"/>
    <mergeCell ref="E51:F51"/>
    <mergeCell ref="C52:F52"/>
    <mergeCell ref="E53:F54"/>
    <mergeCell ref="E57:F57"/>
    <mergeCell ref="E58:F58"/>
    <mergeCell ref="C59:F59"/>
    <mergeCell ref="E60:F60"/>
    <mergeCell ref="E63:F63"/>
    <mergeCell ref="H64:K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modelo</vt:lpstr>
      <vt:lpstr>conteo 1</vt:lpstr>
      <vt:lpstr>conteo 2</vt:lpstr>
      <vt:lpstr>Factores</vt:lpstr>
      <vt:lpstr>trafico</vt:lpstr>
      <vt:lpstr>20 años </vt:lpstr>
      <vt:lpstr>etapas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Zona Informatica</cp:lastModifiedBy>
  <cp:lastPrinted>2017-05-02T13:00:42Z</cp:lastPrinted>
  <dcterms:created xsi:type="dcterms:W3CDTF">2017-04-01T03:15:40Z</dcterms:created>
  <dcterms:modified xsi:type="dcterms:W3CDTF">2017-11-07T10:33:48Z</dcterms:modified>
</cp:coreProperties>
</file>