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1490" windowHeight="3915" tabRatio="799" firstSheet="1" activeTab="10"/>
  </bookViews>
  <sheets>
    <sheet name="Ecuaciones" sheetId="2" state="hidden" r:id="rId1"/>
    <sheet name="Precipitaciones máximas" sheetId="3" r:id="rId2"/>
    <sheet name="Kolmogorov-Diagrama Cajas" sheetId="6" r:id="rId3"/>
    <sheet name="Cálculos - Distintas Ecuaciones" sheetId="4" r:id="rId4"/>
    <sheet name="Cunetas" sheetId="7" r:id="rId5"/>
    <sheet name="Alcantarillas" sheetId="10" r:id="rId6"/>
    <sheet name="Alcantarilla clasificadas" sheetId="17" state="hidden" r:id="rId7"/>
    <sheet name="Hietograma" sheetId="8" state="hidden" r:id="rId8"/>
    <sheet name="Para HMS" sheetId="12" state="hidden" r:id="rId9"/>
    <sheet name="Para HEC RAS" sheetId="14" state="hidden" r:id="rId10"/>
    <sheet name="Socavación" sheetId="15" r:id="rId11"/>
    <sheet name="Cantidades de Obra" sheetId="16" state="hidden" r:id="rId12"/>
  </sheets>
  <definedNames>
    <definedName name="solver_adj" localSheetId="5" hidden="1">Alcantarillas!$N$90</definedName>
    <definedName name="solver_cvg" localSheetId="5" hidden="1">0.0001</definedName>
    <definedName name="solver_drv" localSheetId="5" hidden="1">1</definedName>
    <definedName name="solver_eng" localSheetId="5" hidden="1">1</definedName>
    <definedName name="solver_est" localSheetId="5" hidden="1">1</definedName>
    <definedName name="solver_itr" localSheetId="5" hidden="1">2147483647</definedName>
    <definedName name="solver_mip" localSheetId="5" hidden="1">2147483647</definedName>
    <definedName name="solver_mni" localSheetId="5" hidden="1">30</definedName>
    <definedName name="solver_mrt" localSheetId="5" hidden="1">0.075</definedName>
    <definedName name="solver_msl" localSheetId="5" hidden="1">2</definedName>
    <definedName name="solver_neg" localSheetId="5" hidden="1">1</definedName>
    <definedName name="solver_nod" localSheetId="5" hidden="1">2147483647</definedName>
    <definedName name="solver_num" localSheetId="5" hidden="1">0</definedName>
    <definedName name="solver_nwt" localSheetId="5" hidden="1">1</definedName>
    <definedName name="solver_opt" localSheetId="5" hidden="1">Alcantarillas!$Z$90</definedName>
    <definedName name="solver_pre" localSheetId="5" hidden="1">0.000001</definedName>
    <definedName name="solver_rbv" localSheetId="5" hidden="1">1</definedName>
    <definedName name="solver_rlx" localSheetId="5" hidden="1">2</definedName>
    <definedName name="solver_rsd" localSheetId="5" hidden="1">0</definedName>
    <definedName name="solver_scl" localSheetId="5" hidden="1">1</definedName>
    <definedName name="solver_sho" localSheetId="5" hidden="1">2</definedName>
    <definedName name="solver_ssz" localSheetId="5" hidden="1">100</definedName>
    <definedName name="solver_tim" localSheetId="5" hidden="1">2147483647</definedName>
    <definedName name="solver_tol" localSheetId="5" hidden="1">0.01</definedName>
    <definedName name="solver_typ" localSheetId="5" hidden="1">3</definedName>
    <definedName name="solver_val" localSheetId="5" hidden="1">0</definedName>
    <definedName name="solver_ver" localSheetId="5" hidden="1">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87" i="16" l="1"/>
  <c r="CU106" i="16"/>
  <c r="CT8" i="16"/>
  <c r="CT22" i="16"/>
  <c r="CT78" i="16"/>
  <c r="CT83" i="16"/>
  <c r="CT88" i="16"/>
  <c r="CT91" i="16"/>
  <c r="CT102" i="16"/>
  <c r="CT115" i="16"/>
  <c r="CS51" i="16"/>
  <c r="CW51" i="16" s="1"/>
  <c r="CS94" i="16"/>
  <c r="CW94" i="16" s="1"/>
  <c r="CS104" i="16"/>
  <c r="CW104" i="16" s="1"/>
  <c r="CS105" i="16"/>
  <c r="CW105" i="16" s="1"/>
  <c r="CR86" i="16"/>
  <c r="CV86" i="16" s="1"/>
  <c r="CR87" i="16"/>
  <c r="CV87" i="16" s="1"/>
  <c r="CR109" i="16"/>
  <c r="CV109" i="16" s="1"/>
  <c r="CQ82" i="16"/>
  <c r="CU82" i="16" s="1"/>
  <c r="CQ87" i="16"/>
  <c r="CQ106" i="16"/>
  <c r="CP6" i="16"/>
  <c r="CT6" i="16" s="1"/>
  <c r="CP8" i="16"/>
  <c r="CP9" i="16"/>
  <c r="CT9" i="16" s="1"/>
  <c r="CP10" i="16"/>
  <c r="CT10" i="16" s="1"/>
  <c r="CP22" i="16"/>
  <c r="CP23" i="16"/>
  <c r="CT23" i="16" s="1"/>
  <c r="CP25" i="16"/>
  <c r="CT25" i="16" s="1"/>
  <c r="CP26" i="16"/>
  <c r="CT26" i="16" s="1"/>
  <c r="CP28" i="16"/>
  <c r="CT28" i="16" s="1"/>
  <c r="CP31" i="16"/>
  <c r="CT31" i="16" s="1"/>
  <c r="CP33" i="16"/>
  <c r="CT33" i="16" s="1"/>
  <c r="CP39" i="16"/>
  <c r="CT39" i="16" s="1"/>
  <c r="CP76" i="16"/>
  <c r="CT76" i="16" s="1"/>
  <c r="CP78" i="16"/>
  <c r="CP83" i="16"/>
  <c r="CP84" i="16"/>
  <c r="CT84" i="16" s="1"/>
  <c r="CP85" i="16"/>
  <c r="CT85" i="16" s="1"/>
  <c r="CP88" i="16"/>
  <c r="CP91" i="16"/>
  <c r="CP92" i="16"/>
  <c r="CT92" i="16" s="1"/>
  <c r="CP93" i="16"/>
  <c r="CT93" i="16" s="1"/>
  <c r="CP95" i="16"/>
  <c r="CT95" i="16" s="1"/>
  <c r="CP97" i="16"/>
  <c r="CT97" i="16" s="1"/>
  <c r="CP98" i="16"/>
  <c r="CT98" i="16" s="1"/>
  <c r="CP100" i="16"/>
  <c r="CT100" i="16" s="1"/>
  <c r="CP101" i="16"/>
  <c r="CT101" i="16" s="1"/>
  <c r="CP102" i="16"/>
  <c r="CP103" i="16"/>
  <c r="CT103" i="16" s="1"/>
  <c r="CP111" i="16"/>
  <c r="CT111" i="16" s="1"/>
  <c r="CP115" i="16"/>
  <c r="G47" i="16" l="1"/>
  <c r="I47" i="16" s="1"/>
  <c r="AH7" i="16" l="1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AH30" i="16"/>
  <c r="AH31" i="16"/>
  <c r="AH32" i="16"/>
  <c r="AH33" i="16"/>
  <c r="AH34" i="16"/>
  <c r="AH35" i="16"/>
  <c r="AH36" i="16"/>
  <c r="AH37" i="16"/>
  <c r="AH38" i="16"/>
  <c r="AH39" i="16"/>
  <c r="AH40" i="16"/>
  <c r="AH41" i="16"/>
  <c r="AH42" i="16"/>
  <c r="AH43" i="16"/>
  <c r="AH44" i="16"/>
  <c r="AH45" i="16"/>
  <c r="AH46" i="16"/>
  <c r="AH47" i="16"/>
  <c r="AH48" i="16"/>
  <c r="AH49" i="16"/>
  <c r="AH50" i="16"/>
  <c r="AH51" i="16"/>
  <c r="AH52" i="16"/>
  <c r="AH53" i="16"/>
  <c r="AH54" i="16"/>
  <c r="AH55" i="16"/>
  <c r="AH56" i="16"/>
  <c r="AH57" i="16"/>
  <c r="AH58" i="16"/>
  <c r="AH59" i="16"/>
  <c r="AH60" i="16"/>
  <c r="AH61" i="16"/>
  <c r="AH62" i="16"/>
  <c r="AH63" i="16"/>
  <c r="AH64" i="16"/>
  <c r="AH65" i="16"/>
  <c r="AH66" i="16"/>
  <c r="AH67" i="16"/>
  <c r="AH68" i="16"/>
  <c r="AH69" i="16"/>
  <c r="AH70" i="16"/>
  <c r="AH71" i="16"/>
  <c r="AH72" i="16"/>
  <c r="AH73" i="16"/>
  <c r="AH74" i="16"/>
  <c r="AH75" i="16"/>
  <c r="AH76" i="16"/>
  <c r="AH77" i="16"/>
  <c r="AH78" i="16"/>
  <c r="AH79" i="16"/>
  <c r="AH80" i="16"/>
  <c r="AH81" i="16"/>
  <c r="AH82" i="16"/>
  <c r="AH83" i="16"/>
  <c r="AH84" i="16"/>
  <c r="AH85" i="16"/>
  <c r="AH86" i="16"/>
  <c r="AH87" i="16"/>
  <c r="AH88" i="16"/>
  <c r="AH89" i="16"/>
  <c r="AH90" i="16"/>
  <c r="AH91" i="16"/>
  <c r="AH92" i="16"/>
  <c r="AH93" i="16"/>
  <c r="AH94" i="16"/>
  <c r="AH95" i="16"/>
  <c r="AH96" i="16"/>
  <c r="AH97" i="16"/>
  <c r="AH98" i="16"/>
  <c r="AH99" i="16"/>
  <c r="AH100" i="16"/>
  <c r="AH101" i="16"/>
  <c r="AH102" i="16"/>
  <c r="AH103" i="16"/>
  <c r="AH104" i="16"/>
  <c r="AH105" i="16"/>
  <c r="AH106" i="16"/>
  <c r="AH107" i="16"/>
  <c r="AH108" i="16"/>
  <c r="AH109" i="16"/>
  <c r="AH110" i="16"/>
  <c r="AH111" i="16"/>
  <c r="AH112" i="16"/>
  <c r="AH113" i="16"/>
  <c r="AH114" i="16"/>
  <c r="AH115" i="16"/>
  <c r="AH6" i="16"/>
  <c r="AU7" i="16"/>
  <c r="AU8" i="16"/>
  <c r="AU9" i="16"/>
  <c r="AU10" i="16"/>
  <c r="AU11" i="16"/>
  <c r="AU12" i="16"/>
  <c r="AU13" i="16"/>
  <c r="AU14" i="16"/>
  <c r="AU15" i="16"/>
  <c r="AU16" i="16"/>
  <c r="AU17" i="16"/>
  <c r="AU18" i="16"/>
  <c r="AU19" i="16"/>
  <c r="AU20" i="16"/>
  <c r="AU21" i="16"/>
  <c r="AU22" i="16"/>
  <c r="AU23" i="16"/>
  <c r="AU24" i="16"/>
  <c r="AU25" i="16"/>
  <c r="AU26" i="16"/>
  <c r="AU27" i="16"/>
  <c r="AU28" i="16"/>
  <c r="AU29" i="16"/>
  <c r="AU30" i="16"/>
  <c r="AU31" i="16"/>
  <c r="AU32" i="16"/>
  <c r="AU33" i="16"/>
  <c r="AU34" i="16"/>
  <c r="AU35" i="16"/>
  <c r="AU36" i="16"/>
  <c r="AU37" i="16"/>
  <c r="AU38" i="16"/>
  <c r="AU39" i="16"/>
  <c r="AU40" i="16"/>
  <c r="AU41" i="16"/>
  <c r="AU42" i="16"/>
  <c r="AU43" i="16"/>
  <c r="AU44" i="16"/>
  <c r="AU45" i="16"/>
  <c r="AU46" i="16"/>
  <c r="AU47" i="16"/>
  <c r="AU48" i="16"/>
  <c r="AU49" i="16"/>
  <c r="AU50" i="16"/>
  <c r="AU51" i="16"/>
  <c r="AU52" i="16"/>
  <c r="AU53" i="16"/>
  <c r="AU54" i="16"/>
  <c r="AU55" i="16"/>
  <c r="AU56" i="16"/>
  <c r="AU57" i="16"/>
  <c r="AU58" i="16"/>
  <c r="AU59" i="16"/>
  <c r="AU60" i="16"/>
  <c r="AU61" i="16"/>
  <c r="AU62" i="16"/>
  <c r="AU63" i="16"/>
  <c r="AU64" i="16"/>
  <c r="AU65" i="16"/>
  <c r="AU66" i="16"/>
  <c r="AU67" i="16"/>
  <c r="AU68" i="16"/>
  <c r="AU69" i="16"/>
  <c r="AU70" i="16"/>
  <c r="AU71" i="16"/>
  <c r="AU72" i="16"/>
  <c r="AU73" i="16"/>
  <c r="AU74" i="16"/>
  <c r="AU75" i="16"/>
  <c r="AU76" i="16"/>
  <c r="AU77" i="16"/>
  <c r="AU78" i="16"/>
  <c r="AU79" i="16"/>
  <c r="AU80" i="16"/>
  <c r="AU81" i="16"/>
  <c r="AU82" i="16"/>
  <c r="AU83" i="16"/>
  <c r="AU84" i="16"/>
  <c r="AU85" i="16"/>
  <c r="AU86" i="16"/>
  <c r="AU87" i="16"/>
  <c r="AU88" i="16"/>
  <c r="AU89" i="16"/>
  <c r="AU90" i="16"/>
  <c r="AU91" i="16"/>
  <c r="AU92" i="16"/>
  <c r="AU93" i="16"/>
  <c r="AU94" i="16"/>
  <c r="AU95" i="16"/>
  <c r="AU96" i="16"/>
  <c r="AU97" i="16"/>
  <c r="AU98" i="16"/>
  <c r="AU99" i="16"/>
  <c r="AU100" i="16"/>
  <c r="AU101" i="16"/>
  <c r="AU102" i="16"/>
  <c r="AU103" i="16"/>
  <c r="AU104" i="16"/>
  <c r="AU105" i="16"/>
  <c r="AU106" i="16"/>
  <c r="AU107" i="16"/>
  <c r="AU108" i="16"/>
  <c r="AU109" i="16"/>
  <c r="AU110" i="16"/>
  <c r="AU111" i="16"/>
  <c r="AU112" i="16"/>
  <c r="AU113" i="16"/>
  <c r="AU114" i="16"/>
  <c r="AU115" i="16"/>
  <c r="AU6" i="16"/>
  <c r="BK116" i="16"/>
  <c r="E68" i="16" s="1"/>
  <c r="BE116" i="16"/>
  <c r="E67" i="16" s="1"/>
  <c r="BH116" i="16"/>
  <c r="E58" i="16" s="1"/>
  <c r="E60" i="16" s="1"/>
  <c r="BB116" i="16"/>
  <c r="E57" i="16" s="1"/>
  <c r="E59" i="16" s="1"/>
  <c r="CX8" i="16"/>
  <c r="CX9" i="16"/>
  <c r="CX10" i="16"/>
  <c r="CX11" i="16"/>
  <c r="CX12" i="16"/>
  <c r="CX13" i="16"/>
  <c r="CX14" i="16"/>
  <c r="CX15" i="16"/>
  <c r="CX16" i="16"/>
  <c r="CX17" i="16"/>
  <c r="CX18" i="16"/>
  <c r="CX19" i="16"/>
  <c r="CX20" i="16"/>
  <c r="CX21" i="16"/>
  <c r="CX22" i="16"/>
  <c r="CX23" i="16"/>
  <c r="CX24" i="16"/>
  <c r="CX25" i="16"/>
  <c r="CX26" i="16"/>
  <c r="CX27" i="16"/>
  <c r="CX28" i="16"/>
  <c r="CX29" i="16"/>
  <c r="CX30" i="16"/>
  <c r="CX31" i="16"/>
  <c r="CX32" i="16"/>
  <c r="CX33" i="16"/>
  <c r="CX34" i="16"/>
  <c r="CX35" i="16"/>
  <c r="CX36" i="16"/>
  <c r="CX37" i="16"/>
  <c r="CX38" i="16"/>
  <c r="CX39" i="16"/>
  <c r="CX40" i="16"/>
  <c r="CX41" i="16"/>
  <c r="CX42" i="16"/>
  <c r="CX43" i="16"/>
  <c r="CX44" i="16"/>
  <c r="CX45" i="16"/>
  <c r="CX46" i="16"/>
  <c r="CX47" i="16"/>
  <c r="CX48" i="16"/>
  <c r="CX49" i="16"/>
  <c r="CX50" i="16"/>
  <c r="CX51" i="16"/>
  <c r="CX52" i="16"/>
  <c r="CX53" i="16"/>
  <c r="CX54" i="16"/>
  <c r="CX55" i="16"/>
  <c r="CX56" i="16"/>
  <c r="CX57" i="16"/>
  <c r="CX58" i="16"/>
  <c r="CX59" i="16"/>
  <c r="CX60" i="16"/>
  <c r="CX61" i="16"/>
  <c r="CX62" i="16"/>
  <c r="CX63" i="16"/>
  <c r="CX64" i="16"/>
  <c r="CX65" i="16"/>
  <c r="CX66" i="16"/>
  <c r="CX67" i="16"/>
  <c r="CX68" i="16"/>
  <c r="CX69" i="16"/>
  <c r="CX70" i="16"/>
  <c r="CX71" i="16"/>
  <c r="CX72" i="16"/>
  <c r="CX73" i="16"/>
  <c r="CX74" i="16"/>
  <c r="CX75" i="16"/>
  <c r="CX76" i="16"/>
  <c r="CX77" i="16"/>
  <c r="CX78" i="16"/>
  <c r="CX79" i="16"/>
  <c r="CX80" i="16"/>
  <c r="CX81" i="16"/>
  <c r="CX82" i="16"/>
  <c r="CX83" i="16"/>
  <c r="CX84" i="16"/>
  <c r="CX85" i="16"/>
  <c r="CX86" i="16"/>
  <c r="CX87" i="16"/>
  <c r="CX88" i="16"/>
  <c r="CX89" i="16"/>
  <c r="CX90" i="16"/>
  <c r="CX91" i="16"/>
  <c r="CX92" i="16"/>
  <c r="CX93" i="16"/>
  <c r="CX94" i="16"/>
  <c r="CX95" i="16"/>
  <c r="CX96" i="16"/>
  <c r="CX97" i="16"/>
  <c r="CX98" i="16"/>
  <c r="CX99" i="16"/>
  <c r="CX100" i="16"/>
  <c r="CX101" i="16"/>
  <c r="CX102" i="16"/>
  <c r="CX103" i="16"/>
  <c r="CX104" i="16"/>
  <c r="CX105" i="16"/>
  <c r="CX106" i="16"/>
  <c r="CX107" i="16"/>
  <c r="CX108" i="16"/>
  <c r="CX109" i="16"/>
  <c r="CX110" i="16"/>
  <c r="CX111" i="16"/>
  <c r="CX112" i="16"/>
  <c r="CX113" i="16"/>
  <c r="CX114" i="16"/>
  <c r="CX115" i="16"/>
  <c r="CX7" i="16"/>
  <c r="CX6" i="16"/>
  <c r="CX116" i="16" l="1"/>
  <c r="F50" i="16" s="1"/>
  <c r="DB7" i="16"/>
  <c r="DB8" i="16"/>
  <c r="DB9" i="16"/>
  <c r="DB10" i="16"/>
  <c r="DB11" i="16"/>
  <c r="DB12" i="16"/>
  <c r="DB13" i="16"/>
  <c r="DB14" i="16"/>
  <c r="DB15" i="16"/>
  <c r="DB16" i="16"/>
  <c r="DB17" i="16"/>
  <c r="DB18" i="16"/>
  <c r="DB19" i="16"/>
  <c r="DB20" i="16"/>
  <c r="DB21" i="16"/>
  <c r="DB22" i="16"/>
  <c r="DB23" i="16"/>
  <c r="DB24" i="16"/>
  <c r="DB25" i="16"/>
  <c r="DB26" i="16"/>
  <c r="DB27" i="16"/>
  <c r="DB28" i="16"/>
  <c r="DB29" i="16"/>
  <c r="DB30" i="16"/>
  <c r="DB31" i="16"/>
  <c r="DB32" i="16"/>
  <c r="DB33" i="16"/>
  <c r="DB34" i="16"/>
  <c r="DB35" i="16"/>
  <c r="DB36" i="16"/>
  <c r="DB37" i="16"/>
  <c r="DB38" i="16"/>
  <c r="DB39" i="16"/>
  <c r="DB40" i="16"/>
  <c r="DB41" i="16"/>
  <c r="DB42" i="16"/>
  <c r="DB43" i="16"/>
  <c r="DB44" i="16"/>
  <c r="DB45" i="16"/>
  <c r="DB46" i="16"/>
  <c r="DB47" i="16"/>
  <c r="DB48" i="16"/>
  <c r="DB49" i="16"/>
  <c r="DB50" i="16"/>
  <c r="DB51" i="16"/>
  <c r="DB52" i="16"/>
  <c r="DB53" i="16"/>
  <c r="DB54" i="16"/>
  <c r="DB55" i="16"/>
  <c r="DB56" i="16"/>
  <c r="DB57" i="16"/>
  <c r="DB58" i="16"/>
  <c r="DB59" i="16"/>
  <c r="DB60" i="16"/>
  <c r="DB61" i="16"/>
  <c r="DB62" i="16"/>
  <c r="DB63" i="16"/>
  <c r="DB64" i="16"/>
  <c r="DB65" i="16"/>
  <c r="DB66" i="16"/>
  <c r="DB67" i="16"/>
  <c r="DB68" i="16"/>
  <c r="DB69" i="16"/>
  <c r="DB70" i="16"/>
  <c r="DB71" i="16"/>
  <c r="DB72" i="16"/>
  <c r="DB73" i="16"/>
  <c r="DB74" i="16"/>
  <c r="DB75" i="16"/>
  <c r="DB76" i="16"/>
  <c r="DB77" i="16"/>
  <c r="DB78" i="16"/>
  <c r="DB79" i="16"/>
  <c r="DB80" i="16"/>
  <c r="DB81" i="16"/>
  <c r="DB82" i="16"/>
  <c r="DB83" i="16"/>
  <c r="DB84" i="16"/>
  <c r="DB85" i="16"/>
  <c r="DB86" i="16"/>
  <c r="DB87" i="16"/>
  <c r="DB88" i="16"/>
  <c r="DB89" i="16"/>
  <c r="DB90" i="16"/>
  <c r="DB91" i="16"/>
  <c r="DB92" i="16"/>
  <c r="DB93" i="16"/>
  <c r="DB94" i="16"/>
  <c r="DB95" i="16"/>
  <c r="DB96" i="16"/>
  <c r="DB97" i="16"/>
  <c r="DB98" i="16"/>
  <c r="DB99" i="16"/>
  <c r="DB100" i="16"/>
  <c r="DB101" i="16"/>
  <c r="DB102" i="16"/>
  <c r="DB103" i="16"/>
  <c r="DB104" i="16"/>
  <c r="DB105" i="16"/>
  <c r="DB106" i="16"/>
  <c r="DB107" i="16"/>
  <c r="DB108" i="16"/>
  <c r="DB109" i="16"/>
  <c r="DB110" i="16"/>
  <c r="DB111" i="16"/>
  <c r="DB112" i="16"/>
  <c r="DB113" i="16"/>
  <c r="DB114" i="16"/>
  <c r="DB115" i="16"/>
  <c r="DB6" i="16"/>
  <c r="BI112" i="16"/>
  <c r="BI111" i="16"/>
  <c r="BI81" i="16"/>
  <c r="BI49" i="16"/>
  <c r="BI116" i="16" s="1"/>
  <c r="H58" i="16" s="1"/>
  <c r="BC17" i="16"/>
  <c r="BC20" i="16"/>
  <c r="BC22" i="16"/>
  <c r="BC26" i="16"/>
  <c r="BC30" i="16"/>
  <c r="BC34" i="16"/>
  <c r="BC35" i="16"/>
  <c r="BC40" i="16"/>
  <c r="BC46" i="16"/>
  <c r="BC53" i="16"/>
  <c r="BC55" i="16"/>
  <c r="BC57" i="16"/>
  <c r="BC73" i="16"/>
  <c r="BC74" i="16"/>
  <c r="BC82" i="16"/>
  <c r="BC83" i="16"/>
  <c r="BC84" i="16"/>
  <c r="BC85" i="16"/>
  <c r="BC86" i="16"/>
  <c r="BC87" i="16"/>
  <c r="BC88" i="16"/>
  <c r="BC89" i="16"/>
  <c r="BC90" i="16"/>
  <c r="BC91" i="16"/>
  <c r="BC92" i="16"/>
  <c r="BC93" i="16"/>
  <c r="BC94" i="16"/>
  <c r="BC95" i="16"/>
  <c r="BC97" i="16"/>
  <c r="BC98" i="16"/>
  <c r="BC99" i="16"/>
  <c r="BC100" i="16"/>
  <c r="BC102" i="16"/>
  <c r="BC103" i="16"/>
  <c r="BC104" i="16"/>
  <c r="BC106" i="16"/>
  <c r="BC107" i="16"/>
  <c r="BC110" i="16"/>
  <c r="BC14" i="16"/>
  <c r="BC116" i="16" l="1"/>
  <c r="H57" i="16" s="1"/>
  <c r="AV56" i="16"/>
  <c r="AI56" i="16"/>
  <c r="AV7" i="16" l="1"/>
  <c r="AV8" i="16"/>
  <c r="AV9" i="16"/>
  <c r="AV10" i="16"/>
  <c r="AV11" i="16"/>
  <c r="AV12" i="16"/>
  <c r="AV13" i="16"/>
  <c r="AV14" i="16"/>
  <c r="AV15" i="16"/>
  <c r="AV16" i="16"/>
  <c r="AV17" i="16"/>
  <c r="AV18" i="16"/>
  <c r="AV19" i="16"/>
  <c r="AV20" i="16"/>
  <c r="AV21" i="16"/>
  <c r="AV22" i="16"/>
  <c r="AV23" i="16"/>
  <c r="AV24" i="16"/>
  <c r="AV25" i="16"/>
  <c r="AV26" i="16"/>
  <c r="AV27" i="16"/>
  <c r="AV28" i="16"/>
  <c r="AV29" i="16"/>
  <c r="AV30" i="16"/>
  <c r="AV31" i="16"/>
  <c r="AV32" i="16"/>
  <c r="AV33" i="16"/>
  <c r="AV34" i="16"/>
  <c r="AV35" i="16"/>
  <c r="AV36" i="16"/>
  <c r="AV37" i="16"/>
  <c r="AV38" i="16"/>
  <c r="AV39" i="16"/>
  <c r="AV40" i="16"/>
  <c r="AV41" i="16"/>
  <c r="AV42" i="16"/>
  <c r="AV43" i="16"/>
  <c r="AV44" i="16"/>
  <c r="AV45" i="16"/>
  <c r="AV46" i="16"/>
  <c r="AV47" i="16"/>
  <c r="AV48" i="16"/>
  <c r="AV49" i="16"/>
  <c r="AV50" i="16"/>
  <c r="AV51" i="16"/>
  <c r="AV52" i="16"/>
  <c r="AV53" i="16"/>
  <c r="AV54" i="16"/>
  <c r="AV55" i="16"/>
  <c r="AV57" i="16"/>
  <c r="AV58" i="16"/>
  <c r="AV59" i="16"/>
  <c r="AV60" i="16"/>
  <c r="AV61" i="16"/>
  <c r="AV62" i="16"/>
  <c r="AV63" i="16"/>
  <c r="AV64" i="16"/>
  <c r="AV65" i="16"/>
  <c r="AV66" i="16"/>
  <c r="AV67" i="16"/>
  <c r="AV68" i="16"/>
  <c r="AV69" i="16"/>
  <c r="AV70" i="16"/>
  <c r="AV71" i="16"/>
  <c r="AV72" i="16"/>
  <c r="AV73" i="16"/>
  <c r="AV74" i="16"/>
  <c r="AV75" i="16"/>
  <c r="AV76" i="16"/>
  <c r="AV77" i="16"/>
  <c r="AV78" i="16"/>
  <c r="AV79" i="16"/>
  <c r="AV80" i="16"/>
  <c r="AV81" i="16"/>
  <c r="AV82" i="16"/>
  <c r="AV83" i="16"/>
  <c r="AV84" i="16"/>
  <c r="AV85" i="16"/>
  <c r="AV86" i="16"/>
  <c r="AV87" i="16"/>
  <c r="AV88" i="16"/>
  <c r="AV89" i="16"/>
  <c r="AV90" i="16"/>
  <c r="AV91" i="16"/>
  <c r="AV92" i="16"/>
  <c r="AV93" i="16"/>
  <c r="AV94" i="16"/>
  <c r="AV95" i="16"/>
  <c r="AV96" i="16"/>
  <c r="AV97" i="16"/>
  <c r="AV98" i="16"/>
  <c r="AV99" i="16"/>
  <c r="AV100" i="16"/>
  <c r="AV101" i="16"/>
  <c r="AV102" i="16"/>
  <c r="AV103" i="16"/>
  <c r="AV104" i="16"/>
  <c r="AV105" i="16"/>
  <c r="AV106" i="16"/>
  <c r="AV107" i="16"/>
  <c r="AV108" i="16"/>
  <c r="AV109" i="16"/>
  <c r="AV110" i="16"/>
  <c r="AV111" i="16"/>
  <c r="AV112" i="16"/>
  <c r="AV113" i="16"/>
  <c r="AV114" i="16"/>
  <c r="AV115" i="16"/>
  <c r="S7" i="16"/>
  <c r="CN7" i="16" s="1"/>
  <c r="CR7" i="16" s="1"/>
  <c r="CV7" i="16" s="1"/>
  <c r="T7" i="16"/>
  <c r="CO7" i="16" s="1"/>
  <c r="CS7" i="16" s="1"/>
  <c r="CW7" i="16" s="1"/>
  <c r="S8" i="16"/>
  <c r="CN8" i="16" s="1"/>
  <c r="CR8" i="16" s="1"/>
  <c r="CV8" i="16" s="1"/>
  <c r="T8" i="16"/>
  <c r="CO8" i="16" s="1"/>
  <c r="CS8" i="16" s="1"/>
  <c r="CW8" i="16" s="1"/>
  <c r="S9" i="16"/>
  <c r="CN9" i="16" s="1"/>
  <c r="CR9" i="16" s="1"/>
  <c r="CV9" i="16" s="1"/>
  <c r="T9" i="16"/>
  <c r="CO9" i="16" s="1"/>
  <c r="CS9" i="16" s="1"/>
  <c r="CW9" i="16" s="1"/>
  <c r="S10" i="16"/>
  <c r="CN10" i="16" s="1"/>
  <c r="CR10" i="16" s="1"/>
  <c r="CV10" i="16" s="1"/>
  <c r="T10" i="16"/>
  <c r="CO10" i="16" s="1"/>
  <c r="CS10" i="16" s="1"/>
  <c r="CW10" i="16" s="1"/>
  <c r="S11" i="16"/>
  <c r="CN11" i="16" s="1"/>
  <c r="CR11" i="16" s="1"/>
  <c r="CV11" i="16" s="1"/>
  <c r="T11" i="16"/>
  <c r="CO11" i="16" s="1"/>
  <c r="CS11" i="16" s="1"/>
  <c r="CW11" i="16" s="1"/>
  <c r="S12" i="16"/>
  <c r="CN12" i="16" s="1"/>
  <c r="CR12" i="16" s="1"/>
  <c r="CV12" i="16" s="1"/>
  <c r="T12" i="16"/>
  <c r="CO12" i="16" s="1"/>
  <c r="CS12" i="16" s="1"/>
  <c r="CW12" i="16" s="1"/>
  <c r="S13" i="16"/>
  <c r="CN13" i="16" s="1"/>
  <c r="CR13" i="16" s="1"/>
  <c r="CV13" i="16" s="1"/>
  <c r="T13" i="16"/>
  <c r="CO13" i="16" s="1"/>
  <c r="CS13" i="16" s="1"/>
  <c r="CW13" i="16" s="1"/>
  <c r="S14" i="16"/>
  <c r="CN14" i="16" s="1"/>
  <c r="CR14" i="16" s="1"/>
  <c r="CV14" i="16" s="1"/>
  <c r="T14" i="16"/>
  <c r="CO14" i="16" s="1"/>
  <c r="CS14" i="16" s="1"/>
  <c r="CW14" i="16" s="1"/>
  <c r="S15" i="16"/>
  <c r="CN15" i="16" s="1"/>
  <c r="CR15" i="16" s="1"/>
  <c r="CV15" i="16" s="1"/>
  <c r="T15" i="16"/>
  <c r="CO15" i="16" s="1"/>
  <c r="CS15" i="16" s="1"/>
  <c r="CW15" i="16" s="1"/>
  <c r="S16" i="16"/>
  <c r="CN16" i="16" s="1"/>
  <c r="CR16" i="16" s="1"/>
  <c r="CV16" i="16" s="1"/>
  <c r="T16" i="16"/>
  <c r="CO16" i="16" s="1"/>
  <c r="CS16" i="16" s="1"/>
  <c r="CW16" i="16" s="1"/>
  <c r="S17" i="16"/>
  <c r="CN17" i="16" s="1"/>
  <c r="CR17" i="16" s="1"/>
  <c r="CV17" i="16" s="1"/>
  <c r="T17" i="16"/>
  <c r="CO17" i="16" s="1"/>
  <c r="CS17" i="16" s="1"/>
  <c r="CW17" i="16" s="1"/>
  <c r="S18" i="16"/>
  <c r="CN18" i="16" s="1"/>
  <c r="CR18" i="16" s="1"/>
  <c r="CV18" i="16" s="1"/>
  <c r="T18" i="16"/>
  <c r="CO18" i="16" s="1"/>
  <c r="CS18" i="16" s="1"/>
  <c r="CW18" i="16" s="1"/>
  <c r="S19" i="16"/>
  <c r="CN19" i="16" s="1"/>
  <c r="CR19" i="16" s="1"/>
  <c r="CV19" i="16" s="1"/>
  <c r="T19" i="16"/>
  <c r="CO19" i="16" s="1"/>
  <c r="CS19" i="16" s="1"/>
  <c r="CW19" i="16" s="1"/>
  <c r="S20" i="16"/>
  <c r="CN20" i="16" s="1"/>
  <c r="CR20" i="16" s="1"/>
  <c r="CV20" i="16" s="1"/>
  <c r="T20" i="16"/>
  <c r="CO20" i="16" s="1"/>
  <c r="CS20" i="16" s="1"/>
  <c r="CW20" i="16" s="1"/>
  <c r="S21" i="16"/>
  <c r="CN21" i="16" s="1"/>
  <c r="CR21" i="16" s="1"/>
  <c r="CV21" i="16" s="1"/>
  <c r="T21" i="16"/>
  <c r="CO21" i="16" s="1"/>
  <c r="CS21" i="16" s="1"/>
  <c r="CW21" i="16" s="1"/>
  <c r="S22" i="16"/>
  <c r="CN22" i="16" s="1"/>
  <c r="CR22" i="16" s="1"/>
  <c r="CV22" i="16" s="1"/>
  <c r="T22" i="16"/>
  <c r="CO22" i="16" s="1"/>
  <c r="CS22" i="16" s="1"/>
  <c r="CW22" i="16" s="1"/>
  <c r="S23" i="16"/>
  <c r="CN23" i="16" s="1"/>
  <c r="CR23" i="16" s="1"/>
  <c r="CV23" i="16" s="1"/>
  <c r="T23" i="16"/>
  <c r="CO23" i="16" s="1"/>
  <c r="CS23" i="16" s="1"/>
  <c r="CW23" i="16" s="1"/>
  <c r="S24" i="16"/>
  <c r="CN24" i="16" s="1"/>
  <c r="CR24" i="16" s="1"/>
  <c r="CV24" i="16" s="1"/>
  <c r="T24" i="16"/>
  <c r="CO24" i="16" s="1"/>
  <c r="CS24" i="16" s="1"/>
  <c r="CW24" i="16" s="1"/>
  <c r="S25" i="16"/>
  <c r="CN25" i="16" s="1"/>
  <c r="CR25" i="16" s="1"/>
  <c r="CV25" i="16" s="1"/>
  <c r="T25" i="16"/>
  <c r="CO25" i="16" s="1"/>
  <c r="CS25" i="16" s="1"/>
  <c r="CW25" i="16" s="1"/>
  <c r="S26" i="16"/>
  <c r="CN26" i="16" s="1"/>
  <c r="CR26" i="16" s="1"/>
  <c r="CV26" i="16" s="1"/>
  <c r="T26" i="16"/>
  <c r="CO26" i="16" s="1"/>
  <c r="CS26" i="16" s="1"/>
  <c r="CW26" i="16" s="1"/>
  <c r="S27" i="16"/>
  <c r="CN27" i="16" s="1"/>
  <c r="CR27" i="16" s="1"/>
  <c r="CV27" i="16" s="1"/>
  <c r="T27" i="16"/>
  <c r="CO27" i="16" s="1"/>
  <c r="CS27" i="16" s="1"/>
  <c r="CW27" i="16" s="1"/>
  <c r="S28" i="16"/>
  <c r="CN28" i="16" s="1"/>
  <c r="CR28" i="16" s="1"/>
  <c r="CV28" i="16" s="1"/>
  <c r="T28" i="16"/>
  <c r="CO28" i="16" s="1"/>
  <c r="CS28" i="16" s="1"/>
  <c r="CW28" i="16" s="1"/>
  <c r="S29" i="16"/>
  <c r="CN29" i="16" s="1"/>
  <c r="CR29" i="16" s="1"/>
  <c r="CV29" i="16" s="1"/>
  <c r="T29" i="16"/>
  <c r="CO29" i="16" s="1"/>
  <c r="CS29" i="16" s="1"/>
  <c r="CW29" i="16" s="1"/>
  <c r="S30" i="16"/>
  <c r="CN30" i="16" s="1"/>
  <c r="CR30" i="16" s="1"/>
  <c r="CV30" i="16" s="1"/>
  <c r="T30" i="16"/>
  <c r="CO30" i="16" s="1"/>
  <c r="CS30" i="16" s="1"/>
  <c r="CW30" i="16" s="1"/>
  <c r="S31" i="16"/>
  <c r="CN31" i="16" s="1"/>
  <c r="CR31" i="16" s="1"/>
  <c r="CV31" i="16" s="1"/>
  <c r="T31" i="16"/>
  <c r="CO31" i="16" s="1"/>
  <c r="CS31" i="16" s="1"/>
  <c r="CW31" i="16" s="1"/>
  <c r="S32" i="16"/>
  <c r="CN32" i="16" s="1"/>
  <c r="CR32" i="16" s="1"/>
  <c r="CV32" i="16" s="1"/>
  <c r="T32" i="16"/>
  <c r="CO32" i="16" s="1"/>
  <c r="CS32" i="16" s="1"/>
  <c r="CW32" i="16" s="1"/>
  <c r="S33" i="16"/>
  <c r="CN33" i="16" s="1"/>
  <c r="CR33" i="16" s="1"/>
  <c r="CV33" i="16" s="1"/>
  <c r="T33" i="16"/>
  <c r="CO33" i="16" s="1"/>
  <c r="CS33" i="16" s="1"/>
  <c r="CW33" i="16" s="1"/>
  <c r="S34" i="16"/>
  <c r="CN34" i="16" s="1"/>
  <c r="CR34" i="16" s="1"/>
  <c r="CV34" i="16" s="1"/>
  <c r="T34" i="16"/>
  <c r="CO34" i="16" s="1"/>
  <c r="CS34" i="16" s="1"/>
  <c r="CW34" i="16" s="1"/>
  <c r="S35" i="16"/>
  <c r="CN35" i="16" s="1"/>
  <c r="CR35" i="16" s="1"/>
  <c r="CV35" i="16" s="1"/>
  <c r="T35" i="16"/>
  <c r="CO35" i="16" s="1"/>
  <c r="CS35" i="16" s="1"/>
  <c r="CW35" i="16" s="1"/>
  <c r="S36" i="16"/>
  <c r="CN36" i="16" s="1"/>
  <c r="CR36" i="16" s="1"/>
  <c r="CV36" i="16" s="1"/>
  <c r="T36" i="16"/>
  <c r="CO36" i="16" s="1"/>
  <c r="CS36" i="16" s="1"/>
  <c r="CW36" i="16" s="1"/>
  <c r="S37" i="16"/>
  <c r="CN37" i="16" s="1"/>
  <c r="CR37" i="16" s="1"/>
  <c r="CV37" i="16" s="1"/>
  <c r="T37" i="16"/>
  <c r="CO37" i="16" s="1"/>
  <c r="CS37" i="16" s="1"/>
  <c r="CW37" i="16" s="1"/>
  <c r="S38" i="16"/>
  <c r="CN38" i="16" s="1"/>
  <c r="CR38" i="16" s="1"/>
  <c r="CV38" i="16" s="1"/>
  <c r="T38" i="16"/>
  <c r="CO38" i="16" s="1"/>
  <c r="CS38" i="16" s="1"/>
  <c r="CW38" i="16" s="1"/>
  <c r="S39" i="16"/>
  <c r="CN39" i="16" s="1"/>
  <c r="CR39" i="16" s="1"/>
  <c r="CV39" i="16" s="1"/>
  <c r="T39" i="16"/>
  <c r="CO39" i="16" s="1"/>
  <c r="CS39" i="16" s="1"/>
  <c r="CW39" i="16" s="1"/>
  <c r="S40" i="16"/>
  <c r="CN40" i="16" s="1"/>
  <c r="CR40" i="16" s="1"/>
  <c r="CV40" i="16" s="1"/>
  <c r="T40" i="16"/>
  <c r="CO40" i="16" s="1"/>
  <c r="CS40" i="16" s="1"/>
  <c r="CW40" i="16" s="1"/>
  <c r="S41" i="16"/>
  <c r="CN41" i="16" s="1"/>
  <c r="CR41" i="16" s="1"/>
  <c r="CV41" i="16" s="1"/>
  <c r="T41" i="16"/>
  <c r="CO41" i="16" s="1"/>
  <c r="CS41" i="16" s="1"/>
  <c r="CW41" i="16" s="1"/>
  <c r="S42" i="16"/>
  <c r="CN42" i="16" s="1"/>
  <c r="CR42" i="16" s="1"/>
  <c r="CV42" i="16" s="1"/>
  <c r="T42" i="16"/>
  <c r="CO42" i="16" s="1"/>
  <c r="CS42" i="16" s="1"/>
  <c r="CW42" i="16" s="1"/>
  <c r="S43" i="16"/>
  <c r="CN43" i="16" s="1"/>
  <c r="CR43" i="16" s="1"/>
  <c r="CV43" i="16" s="1"/>
  <c r="T43" i="16"/>
  <c r="CO43" i="16" s="1"/>
  <c r="CS43" i="16" s="1"/>
  <c r="CW43" i="16" s="1"/>
  <c r="S44" i="16"/>
  <c r="CN44" i="16" s="1"/>
  <c r="CR44" i="16" s="1"/>
  <c r="CV44" i="16" s="1"/>
  <c r="T44" i="16"/>
  <c r="CO44" i="16" s="1"/>
  <c r="CS44" i="16" s="1"/>
  <c r="CW44" i="16" s="1"/>
  <c r="S45" i="16"/>
  <c r="CN45" i="16" s="1"/>
  <c r="CR45" i="16" s="1"/>
  <c r="CV45" i="16" s="1"/>
  <c r="T45" i="16"/>
  <c r="CO45" i="16" s="1"/>
  <c r="CS45" i="16" s="1"/>
  <c r="CW45" i="16" s="1"/>
  <c r="S46" i="16"/>
  <c r="CN46" i="16" s="1"/>
  <c r="CR46" i="16" s="1"/>
  <c r="CV46" i="16" s="1"/>
  <c r="T46" i="16"/>
  <c r="CO46" i="16" s="1"/>
  <c r="CS46" i="16" s="1"/>
  <c r="CW46" i="16" s="1"/>
  <c r="S47" i="16"/>
  <c r="CN47" i="16" s="1"/>
  <c r="CR47" i="16" s="1"/>
  <c r="CV47" i="16" s="1"/>
  <c r="T47" i="16"/>
  <c r="CO47" i="16" s="1"/>
  <c r="CS47" i="16" s="1"/>
  <c r="CW47" i="16" s="1"/>
  <c r="S48" i="16"/>
  <c r="CN48" i="16" s="1"/>
  <c r="CR48" i="16" s="1"/>
  <c r="CV48" i="16" s="1"/>
  <c r="T48" i="16"/>
  <c r="CO48" i="16" s="1"/>
  <c r="CS48" i="16" s="1"/>
  <c r="CW48" i="16" s="1"/>
  <c r="S49" i="16"/>
  <c r="CN49" i="16" s="1"/>
  <c r="CR49" i="16" s="1"/>
  <c r="CV49" i="16" s="1"/>
  <c r="T49" i="16"/>
  <c r="CO49" i="16" s="1"/>
  <c r="CS49" i="16" s="1"/>
  <c r="CW49" i="16" s="1"/>
  <c r="S50" i="16"/>
  <c r="CN50" i="16" s="1"/>
  <c r="CR50" i="16" s="1"/>
  <c r="CV50" i="16" s="1"/>
  <c r="T50" i="16"/>
  <c r="CO50" i="16" s="1"/>
  <c r="CS50" i="16" s="1"/>
  <c r="CW50" i="16" s="1"/>
  <c r="S51" i="16"/>
  <c r="CN51" i="16" s="1"/>
  <c r="CR51" i="16" s="1"/>
  <c r="CV51" i="16" s="1"/>
  <c r="T51" i="16"/>
  <c r="S52" i="16"/>
  <c r="CN52" i="16" s="1"/>
  <c r="CR52" i="16" s="1"/>
  <c r="CV52" i="16" s="1"/>
  <c r="T52" i="16"/>
  <c r="CO52" i="16" s="1"/>
  <c r="CS52" i="16" s="1"/>
  <c r="CW52" i="16" s="1"/>
  <c r="S53" i="16"/>
  <c r="CN53" i="16" s="1"/>
  <c r="CR53" i="16" s="1"/>
  <c r="CV53" i="16" s="1"/>
  <c r="T53" i="16"/>
  <c r="CO53" i="16" s="1"/>
  <c r="CS53" i="16" s="1"/>
  <c r="CW53" i="16" s="1"/>
  <c r="S54" i="16"/>
  <c r="CN54" i="16" s="1"/>
  <c r="CR54" i="16" s="1"/>
  <c r="CV54" i="16" s="1"/>
  <c r="T54" i="16"/>
  <c r="CO54" i="16" s="1"/>
  <c r="CS54" i="16" s="1"/>
  <c r="CW54" i="16" s="1"/>
  <c r="S55" i="16"/>
  <c r="CN55" i="16" s="1"/>
  <c r="CR55" i="16" s="1"/>
  <c r="CV55" i="16" s="1"/>
  <c r="T55" i="16"/>
  <c r="CO55" i="16" s="1"/>
  <c r="CS55" i="16" s="1"/>
  <c r="CW55" i="16" s="1"/>
  <c r="S56" i="16"/>
  <c r="CN56" i="16" s="1"/>
  <c r="CR56" i="16" s="1"/>
  <c r="CV56" i="16" s="1"/>
  <c r="T56" i="16"/>
  <c r="CO56" i="16" s="1"/>
  <c r="CS56" i="16" s="1"/>
  <c r="CW56" i="16" s="1"/>
  <c r="S57" i="16"/>
  <c r="CN57" i="16" s="1"/>
  <c r="CR57" i="16" s="1"/>
  <c r="CV57" i="16" s="1"/>
  <c r="T57" i="16"/>
  <c r="CO57" i="16" s="1"/>
  <c r="CS57" i="16" s="1"/>
  <c r="CW57" i="16" s="1"/>
  <c r="S58" i="16"/>
  <c r="CN58" i="16" s="1"/>
  <c r="CR58" i="16" s="1"/>
  <c r="CV58" i="16" s="1"/>
  <c r="T58" i="16"/>
  <c r="CO58" i="16" s="1"/>
  <c r="CS58" i="16" s="1"/>
  <c r="CW58" i="16" s="1"/>
  <c r="S59" i="16"/>
  <c r="CN59" i="16" s="1"/>
  <c r="CR59" i="16" s="1"/>
  <c r="CV59" i="16" s="1"/>
  <c r="T59" i="16"/>
  <c r="CO59" i="16" s="1"/>
  <c r="CS59" i="16" s="1"/>
  <c r="CW59" i="16" s="1"/>
  <c r="S60" i="16"/>
  <c r="CN60" i="16" s="1"/>
  <c r="CR60" i="16" s="1"/>
  <c r="CV60" i="16" s="1"/>
  <c r="T60" i="16"/>
  <c r="CO60" i="16" s="1"/>
  <c r="CS60" i="16" s="1"/>
  <c r="CW60" i="16" s="1"/>
  <c r="S61" i="16"/>
  <c r="CN61" i="16" s="1"/>
  <c r="CR61" i="16" s="1"/>
  <c r="CV61" i="16" s="1"/>
  <c r="T61" i="16"/>
  <c r="CO61" i="16" s="1"/>
  <c r="CS61" i="16" s="1"/>
  <c r="CW61" i="16" s="1"/>
  <c r="S62" i="16"/>
  <c r="CN62" i="16" s="1"/>
  <c r="CR62" i="16" s="1"/>
  <c r="CV62" i="16" s="1"/>
  <c r="T62" i="16"/>
  <c r="CO62" i="16" s="1"/>
  <c r="CS62" i="16" s="1"/>
  <c r="CW62" i="16" s="1"/>
  <c r="S63" i="16"/>
  <c r="CN63" i="16" s="1"/>
  <c r="CR63" i="16" s="1"/>
  <c r="CV63" i="16" s="1"/>
  <c r="T63" i="16"/>
  <c r="CO63" i="16" s="1"/>
  <c r="CS63" i="16" s="1"/>
  <c r="CW63" i="16" s="1"/>
  <c r="S64" i="16"/>
  <c r="CN64" i="16" s="1"/>
  <c r="CR64" i="16" s="1"/>
  <c r="CV64" i="16" s="1"/>
  <c r="T64" i="16"/>
  <c r="CO64" i="16" s="1"/>
  <c r="CS64" i="16" s="1"/>
  <c r="CW64" i="16" s="1"/>
  <c r="S65" i="16"/>
  <c r="CN65" i="16" s="1"/>
  <c r="CR65" i="16" s="1"/>
  <c r="CV65" i="16" s="1"/>
  <c r="T65" i="16"/>
  <c r="CO65" i="16" s="1"/>
  <c r="CS65" i="16" s="1"/>
  <c r="CW65" i="16" s="1"/>
  <c r="S66" i="16"/>
  <c r="CN66" i="16" s="1"/>
  <c r="CR66" i="16" s="1"/>
  <c r="CV66" i="16" s="1"/>
  <c r="T66" i="16"/>
  <c r="CO66" i="16" s="1"/>
  <c r="CS66" i="16" s="1"/>
  <c r="CW66" i="16" s="1"/>
  <c r="S67" i="16"/>
  <c r="CN67" i="16" s="1"/>
  <c r="CR67" i="16" s="1"/>
  <c r="CV67" i="16" s="1"/>
  <c r="T67" i="16"/>
  <c r="CO67" i="16" s="1"/>
  <c r="CS67" i="16" s="1"/>
  <c r="CW67" i="16" s="1"/>
  <c r="S68" i="16"/>
  <c r="CN68" i="16" s="1"/>
  <c r="CR68" i="16" s="1"/>
  <c r="CV68" i="16" s="1"/>
  <c r="T68" i="16"/>
  <c r="CO68" i="16" s="1"/>
  <c r="CS68" i="16" s="1"/>
  <c r="CW68" i="16" s="1"/>
  <c r="S69" i="16"/>
  <c r="CN69" i="16" s="1"/>
  <c r="CR69" i="16" s="1"/>
  <c r="CV69" i="16" s="1"/>
  <c r="T69" i="16"/>
  <c r="CO69" i="16" s="1"/>
  <c r="CS69" i="16" s="1"/>
  <c r="CW69" i="16" s="1"/>
  <c r="S70" i="16"/>
  <c r="CN70" i="16" s="1"/>
  <c r="CR70" i="16" s="1"/>
  <c r="CV70" i="16" s="1"/>
  <c r="T70" i="16"/>
  <c r="CO70" i="16" s="1"/>
  <c r="CS70" i="16" s="1"/>
  <c r="CW70" i="16" s="1"/>
  <c r="S71" i="16"/>
  <c r="CN71" i="16" s="1"/>
  <c r="CR71" i="16" s="1"/>
  <c r="CV71" i="16" s="1"/>
  <c r="T71" i="16"/>
  <c r="CO71" i="16" s="1"/>
  <c r="CS71" i="16" s="1"/>
  <c r="CW71" i="16" s="1"/>
  <c r="S72" i="16"/>
  <c r="CN72" i="16" s="1"/>
  <c r="CR72" i="16" s="1"/>
  <c r="CV72" i="16" s="1"/>
  <c r="T72" i="16"/>
  <c r="CO72" i="16" s="1"/>
  <c r="CS72" i="16" s="1"/>
  <c r="CW72" i="16" s="1"/>
  <c r="S73" i="16"/>
  <c r="CN73" i="16" s="1"/>
  <c r="CR73" i="16" s="1"/>
  <c r="CV73" i="16" s="1"/>
  <c r="T73" i="16"/>
  <c r="CO73" i="16" s="1"/>
  <c r="CS73" i="16" s="1"/>
  <c r="CW73" i="16" s="1"/>
  <c r="S74" i="16"/>
  <c r="CN74" i="16" s="1"/>
  <c r="CR74" i="16" s="1"/>
  <c r="CV74" i="16" s="1"/>
  <c r="T74" i="16"/>
  <c r="CO74" i="16" s="1"/>
  <c r="CS74" i="16" s="1"/>
  <c r="CW74" i="16" s="1"/>
  <c r="S75" i="16"/>
  <c r="CN75" i="16" s="1"/>
  <c r="CR75" i="16" s="1"/>
  <c r="CV75" i="16" s="1"/>
  <c r="T75" i="16"/>
  <c r="CO75" i="16" s="1"/>
  <c r="CS75" i="16" s="1"/>
  <c r="CW75" i="16" s="1"/>
  <c r="S76" i="16"/>
  <c r="CN76" i="16" s="1"/>
  <c r="CR76" i="16" s="1"/>
  <c r="CV76" i="16" s="1"/>
  <c r="T76" i="16"/>
  <c r="CO76" i="16" s="1"/>
  <c r="CS76" i="16" s="1"/>
  <c r="CW76" i="16" s="1"/>
  <c r="S77" i="16"/>
  <c r="CN77" i="16" s="1"/>
  <c r="CR77" i="16" s="1"/>
  <c r="CV77" i="16" s="1"/>
  <c r="T77" i="16"/>
  <c r="CO77" i="16" s="1"/>
  <c r="CS77" i="16" s="1"/>
  <c r="CW77" i="16" s="1"/>
  <c r="S78" i="16"/>
  <c r="CN78" i="16" s="1"/>
  <c r="CR78" i="16" s="1"/>
  <c r="CV78" i="16" s="1"/>
  <c r="T78" i="16"/>
  <c r="CO78" i="16" s="1"/>
  <c r="CS78" i="16" s="1"/>
  <c r="CW78" i="16" s="1"/>
  <c r="S79" i="16"/>
  <c r="CN79" i="16" s="1"/>
  <c r="CR79" i="16" s="1"/>
  <c r="CV79" i="16" s="1"/>
  <c r="T79" i="16"/>
  <c r="CO79" i="16" s="1"/>
  <c r="CS79" i="16" s="1"/>
  <c r="CW79" i="16" s="1"/>
  <c r="S80" i="16"/>
  <c r="CN80" i="16" s="1"/>
  <c r="CR80" i="16" s="1"/>
  <c r="CV80" i="16" s="1"/>
  <c r="T80" i="16"/>
  <c r="CO80" i="16" s="1"/>
  <c r="CS80" i="16" s="1"/>
  <c r="CW80" i="16" s="1"/>
  <c r="S81" i="16"/>
  <c r="CN81" i="16" s="1"/>
  <c r="CR81" i="16" s="1"/>
  <c r="CV81" i="16" s="1"/>
  <c r="T81" i="16"/>
  <c r="CO81" i="16" s="1"/>
  <c r="CS81" i="16" s="1"/>
  <c r="CW81" i="16" s="1"/>
  <c r="S82" i="16"/>
  <c r="CN82" i="16" s="1"/>
  <c r="CR82" i="16" s="1"/>
  <c r="CV82" i="16" s="1"/>
  <c r="T82" i="16"/>
  <c r="CO82" i="16" s="1"/>
  <c r="CS82" i="16" s="1"/>
  <c r="CW82" i="16" s="1"/>
  <c r="S83" i="16"/>
  <c r="CN83" i="16" s="1"/>
  <c r="CR83" i="16" s="1"/>
  <c r="CV83" i="16" s="1"/>
  <c r="T83" i="16"/>
  <c r="CO83" i="16" s="1"/>
  <c r="CS83" i="16" s="1"/>
  <c r="CW83" i="16" s="1"/>
  <c r="S84" i="16"/>
  <c r="CN84" i="16" s="1"/>
  <c r="CR84" i="16" s="1"/>
  <c r="CV84" i="16" s="1"/>
  <c r="T84" i="16"/>
  <c r="CO84" i="16" s="1"/>
  <c r="CS84" i="16" s="1"/>
  <c r="CW84" i="16" s="1"/>
  <c r="S85" i="16"/>
  <c r="CN85" i="16" s="1"/>
  <c r="CR85" i="16" s="1"/>
  <c r="CV85" i="16" s="1"/>
  <c r="T85" i="16"/>
  <c r="CO85" i="16" s="1"/>
  <c r="CS85" i="16" s="1"/>
  <c r="CW85" i="16" s="1"/>
  <c r="S86" i="16"/>
  <c r="T86" i="16"/>
  <c r="CO86" i="16" s="1"/>
  <c r="CS86" i="16" s="1"/>
  <c r="CW86" i="16" s="1"/>
  <c r="S87" i="16"/>
  <c r="T87" i="16"/>
  <c r="CO87" i="16" s="1"/>
  <c r="CS87" i="16" s="1"/>
  <c r="CW87" i="16" s="1"/>
  <c r="S88" i="16"/>
  <c r="CN88" i="16" s="1"/>
  <c r="CR88" i="16" s="1"/>
  <c r="CV88" i="16" s="1"/>
  <c r="T88" i="16"/>
  <c r="CO88" i="16" s="1"/>
  <c r="CS88" i="16" s="1"/>
  <c r="CW88" i="16" s="1"/>
  <c r="S89" i="16"/>
  <c r="CN89" i="16" s="1"/>
  <c r="CR89" i="16" s="1"/>
  <c r="CV89" i="16" s="1"/>
  <c r="T89" i="16"/>
  <c r="CO89" i="16" s="1"/>
  <c r="CS89" i="16" s="1"/>
  <c r="CW89" i="16" s="1"/>
  <c r="S90" i="16"/>
  <c r="CN90" i="16" s="1"/>
  <c r="CR90" i="16" s="1"/>
  <c r="CV90" i="16" s="1"/>
  <c r="T90" i="16"/>
  <c r="CO90" i="16" s="1"/>
  <c r="CS90" i="16" s="1"/>
  <c r="CW90" i="16" s="1"/>
  <c r="S91" i="16"/>
  <c r="CN91" i="16" s="1"/>
  <c r="CR91" i="16" s="1"/>
  <c r="CV91" i="16" s="1"/>
  <c r="T91" i="16"/>
  <c r="CO91" i="16" s="1"/>
  <c r="CS91" i="16" s="1"/>
  <c r="CW91" i="16" s="1"/>
  <c r="S92" i="16"/>
  <c r="CN92" i="16" s="1"/>
  <c r="CR92" i="16" s="1"/>
  <c r="CV92" i="16" s="1"/>
  <c r="T92" i="16"/>
  <c r="CO92" i="16" s="1"/>
  <c r="CS92" i="16" s="1"/>
  <c r="CW92" i="16" s="1"/>
  <c r="S93" i="16"/>
  <c r="CN93" i="16" s="1"/>
  <c r="CR93" i="16" s="1"/>
  <c r="CV93" i="16" s="1"/>
  <c r="T93" i="16"/>
  <c r="CO93" i="16" s="1"/>
  <c r="CS93" i="16" s="1"/>
  <c r="CW93" i="16" s="1"/>
  <c r="S94" i="16"/>
  <c r="CN94" i="16" s="1"/>
  <c r="CR94" i="16" s="1"/>
  <c r="CV94" i="16" s="1"/>
  <c r="T94" i="16"/>
  <c r="S95" i="16"/>
  <c r="CN95" i="16" s="1"/>
  <c r="CR95" i="16" s="1"/>
  <c r="CV95" i="16" s="1"/>
  <c r="T95" i="16"/>
  <c r="CO95" i="16" s="1"/>
  <c r="CS95" i="16" s="1"/>
  <c r="CW95" i="16" s="1"/>
  <c r="S96" i="16"/>
  <c r="CN96" i="16" s="1"/>
  <c r="CR96" i="16" s="1"/>
  <c r="CV96" i="16" s="1"/>
  <c r="T96" i="16"/>
  <c r="CO96" i="16" s="1"/>
  <c r="CS96" i="16" s="1"/>
  <c r="CW96" i="16" s="1"/>
  <c r="S97" i="16"/>
  <c r="CN97" i="16" s="1"/>
  <c r="CR97" i="16" s="1"/>
  <c r="CV97" i="16" s="1"/>
  <c r="T97" i="16"/>
  <c r="CO97" i="16" s="1"/>
  <c r="CS97" i="16" s="1"/>
  <c r="CW97" i="16" s="1"/>
  <c r="S98" i="16"/>
  <c r="CN98" i="16" s="1"/>
  <c r="CR98" i="16" s="1"/>
  <c r="CV98" i="16" s="1"/>
  <c r="T98" i="16"/>
  <c r="CO98" i="16" s="1"/>
  <c r="CS98" i="16" s="1"/>
  <c r="CW98" i="16" s="1"/>
  <c r="S99" i="16"/>
  <c r="CN99" i="16" s="1"/>
  <c r="CR99" i="16" s="1"/>
  <c r="CV99" i="16" s="1"/>
  <c r="T99" i="16"/>
  <c r="CO99" i="16" s="1"/>
  <c r="CS99" i="16" s="1"/>
  <c r="CW99" i="16" s="1"/>
  <c r="S100" i="16"/>
  <c r="CN100" i="16" s="1"/>
  <c r="CR100" i="16" s="1"/>
  <c r="CV100" i="16" s="1"/>
  <c r="T100" i="16"/>
  <c r="CO100" i="16" s="1"/>
  <c r="CS100" i="16" s="1"/>
  <c r="CW100" i="16" s="1"/>
  <c r="S101" i="16"/>
  <c r="CN101" i="16" s="1"/>
  <c r="CR101" i="16" s="1"/>
  <c r="CV101" i="16" s="1"/>
  <c r="T101" i="16"/>
  <c r="CO101" i="16" s="1"/>
  <c r="CS101" i="16" s="1"/>
  <c r="CW101" i="16" s="1"/>
  <c r="S102" i="16"/>
  <c r="CN102" i="16" s="1"/>
  <c r="CR102" i="16" s="1"/>
  <c r="CV102" i="16" s="1"/>
  <c r="T102" i="16"/>
  <c r="CO102" i="16" s="1"/>
  <c r="CS102" i="16" s="1"/>
  <c r="CW102" i="16" s="1"/>
  <c r="S103" i="16"/>
  <c r="CN103" i="16" s="1"/>
  <c r="CR103" i="16" s="1"/>
  <c r="CV103" i="16" s="1"/>
  <c r="T103" i="16"/>
  <c r="CO103" i="16" s="1"/>
  <c r="CS103" i="16" s="1"/>
  <c r="CW103" i="16" s="1"/>
  <c r="S104" i="16"/>
  <c r="CN104" i="16" s="1"/>
  <c r="CR104" i="16" s="1"/>
  <c r="CV104" i="16" s="1"/>
  <c r="T104" i="16"/>
  <c r="S105" i="16"/>
  <c r="CN105" i="16" s="1"/>
  <c r="CR105" i="16" s="1"/>
  <c r="CV105" i="16" s="1"/>
  <c r="T105" i="16"/>
  <c r="S106" i="16"/>
  <c r="CN106" i="16" s="1"/>
  <c r="CR106" i="16" s="1"/>
  <c r="CV106" i="16" s="1"/>
  <c r="T106" i="16"/>
  <c r="CO106" i="16" s="1"/>
  <c r="CS106" i="16" s="1"/>
  <c r="CW106" i="16" s="1"/>
  <c r="S107" i="16"/>
  <c r="CN107" i="16" s="1"/>
  <c r="CR107" i="16" s="1"/>
  <c r="CV107" i="16" s="1"/>
  <c r="T107" i="16"/>
  <c r="CO107" i="16" s="1"/>
  <c r="CS107" i="16" s="1"/>
  <c r="CW107" i="16" s="1"/>
  <c r="S108" i="16"/>
  <c r="CN108" i="16" s="1"/>
  <c r="CR108" i="16" s="1"/>
  <c r="CV108" i="16" s="1"/>
  <c r="T108" i="16"/>
  <c r="CO108" i="16" s="1"/>
  <c r="CS108" i="16" s="1"/>
  <c r="CW108" i="16" s="1"/>
  <c r="S109" i="16"/>
  <c r="T109" i="16"/>
  <c r="CO109" i="16" s="1"/>
  <c r="CS109" i="16" s="1"/>
  <c r="CW109" i="16" s="1"/>
  <c r="S110" i="16"/>
  <c r="CN110" i="16" s="1"/>
  <c r="CR110" i="16" s="1"/>
  <c r="CV110" i="16" s="1"/>
  <c r="T110" i="16"/>
  <c r="CO110" i="16" s="1"/>
  <c r="CS110" i="16" s="1"/>
  <c r="CW110" i="16" s="1"/>
  <c r="S111" i="16"/>
  <c r="CN111" i="16" s="1"/>
  <c r="CR111" i="16" s="1"/>
  <c r="CV111" i="16" s="1"/>
  <c r="T111" i="16"/>
  <c r="CO111" i="16" s="1"/>
  <c r="CS111" i="16" s="1"/>
  <c r="CW111" i="16" s="1"/>
  <c r="S112" i="16"/>
  <c r="CN112" i="16" s="1"/>
  <c r="CR112" i="16" s="1"/>
  <c r="CV112" i="16" s="1"/>
  <c r="T112" i="16"/>
  <c r="CO112" i="16" s="1"/>
  <c r="CS112" i="16" s="1"/>
  <c r="CW112" i="16" s="1"/>
  <c r="S113" i="16"/>
  <c r="CN113" i="16" s="1"/>
  <c r="CR113" i="16" s="1"/>
  <c r="CV113" i="16" s="1"/>
  <c r="T113" i="16"/>
  <c r="CO113" i="16" s="1"/>
  <c r="CS113" i="16" s="1"/>
  <c r="CW113" i="16" s="1"/>
  <c r="S114" i="16"/>
  <c r="CN114" i="16" s="1"/>
  <c r="CR114" i="16" s="1"/>
  <c r="CV114" i="16" s="1"/>
  <c r="T114" i="16"/>
  <c r="CO114" i="16" s="1"/>
  <c r="CS114" i="16" s="1"/>
  <c r="CW114" i="16" s="1"/>
  <c r="S115" i="16"/>
  <c r="CN115" i="16" s="1"/>
  <c r="CR115" i="16" s="1"/>
  <c r="CV115" i="16" s="1"/>
  <c r="T115" i="16"/>
  <c r="CO115" i="16" s="1"/>
  <c r="CS115" i="16" s="1"/>
  <c r="CW115" i="16" s="1"/>
  <c r="T6" i="16"/>
  <c r="CO6" i="16" s="1"/>
  <c r="CS6" i="16" s="1"/>
  <c r="CW6" i="16" s="1"/>
  <c r="S6" i="16"/>
  <c r="CN6" i="16" s="1"/>
  <c r="CR6" i="16" s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30" i="16"/>
  <c r="AI31" i="16"/>
  <c r="AI32" i="16"/>
  <c r="AI33" i="16"/>
  <c r="AI34" i="16"/>
  <c r="AI35" i="16"/>
  <c r="AI36" i="16"/>
  <c r="AI37" i="16"/>
  <c r="AI38" i="16"/>
  <c r="AI39" i="16"/>
  <c r="AI40" i="16"/>
  <c r="AI41" i="16"/>
  <c r="AI42" i="16"/>
  <c r="AI43" i="16"/>
  <c r="AI44" i="16"/>
  <c r="AI45" i="16"/>
  <c r="AI46" i="16"/>
  <c r="AI47" i="16"/>
  <c r="AI48" i="16"/>
  <c r="AI49" i="16"/>
  <c r="AI50" i="16"/>
  <c r="AI51" i="16"/>
  <c r="AI52" i="16"/>
  <c r="AI53" i="16"/>
  <c r="AI54" i="16"/>
  <c r="AI55" i="16"/>
  <c r="AI57" i="16"/>
  <c r="AI58" i="16"/>
  <c r="AI59" i="16"/>
  <c r="AI60" i="16"/>
  <c r="AI61" i="16"/>
  <c r="AI62" i="16"/>
  <c r="AI63" i="16"/>
  <c r="AI64" i="16"/>
  <c r="AI65" i="16"/>
  <c r="AI66" i="16"/>
  <c r="AI67" i="16"/>
  <c r="AI68" i="16"/>
  <c r="AI69" i="16"/>
  <c r="AI70" i="16"/>
  <c r="AI71" i="16"/>
  <c r="AI72" i="16"/>
  <c r="AI73" i="16"/>
  <c r="AI74" i="16"/>
  <c r="AI75" i="16"/>
  <c r="AI76" i="16"/>
  <c r="AI77" i="16"/>
  <c r="AI78" i="16"/>
  <c r="AI79" i="16"/>
  <c r="AI80" i="16"/>
  <c r="AI81" i="16"/>
  <c r="AI82" i="16"/>
  <c r="AI83" i="16"/>
  <c r="AI84" i="16"/>
  <c r="AI85" i="16"/>
  <c r="AI86" i="16"/>
  <c r="AI87" i="16"/>
  <c r="AI88" i="16"/>
  <c r="AI89" i="16"/>
  <c r="AI90" i="16"/>
  <c r="AI91" i="16"/>
  <c r="AI92" i="16"/>
  <c r="AI93" i="16"/>
  <c r="AI94" i="16"/>
  <c r="AI95" i="16"/>
  <c r="AI96" i="16"/>
  <c r="AI97" i="16"/>
  <c r="AI98" i="16"/>
  <c r="AI99" i="16"/>
  <c r="AI100" i="16"/>
  <c r="AI101" i="16"/>
  <c r="AI102" i="16"/>
  <c r="AI103" i="16"/>
  <c r="AI104" i="16"/>
  <c r="AI105" i="16"/>
  <c r="AI106" i="16"/>
  <c r="AI107" i="16"/>
  <c r="AI108" i="16"/>
  <c r="AI109" i="16"/>
  <c r="AI110" i="16"/>
  <c r="AI111" i="16"/>
  <c r="AI112" i="16"/>
  <c r="AI113" i="16"/>
  <c r="AI114" i="16"/>
  <c r="AI115" i="16"/>
  <c r="O111" i="16"/>
  <c r="AV6" i="16"/>
  <c r="AI6" i="16"/>
  <c r="CR116" i="16" l="1"/>
  <c r="F33" i="16" s="1"/>
  <c r="F35" i="16" s="1"/>
  <c r="CV6" i="16"/>
  <c r="CV116" i="16" s="1"/>
  <c r="F34" i="16" s="1"/>
  <c r="CW116" i="16"/>
  <c r="G34" i="16" s="1"/>
  <c r="CS116" i="16"/>
  <c r="G33" i="16" s="1"/>
  <c r="G35" i="16" s="1"/>
  <c r="CA6" i="16"/>
  <c r="BV6" i="16"/>
  <c r="CB6" i="16"/>
  <c r="BW6" i="16"/>
  <c r="BR115" i="16"/>
  <c r="CB115" i="16"/>
  <c r="BW115" i="16"/>
  <c r="BQ115" i="16"/>
  <c r="CA115" i="16"/>
  <c r="BV115" i="16"/>
  <c r="BR114" i="16"/>
  <c r="CB114" i="16"/>
  <c r="BW114" i="16"/>
  <c r="BQ114" i="16"/>
  <c r="CA114" i="16"/>
  <c r="BV114" i="16"/>
  <c r="BR113" i="16"/>
  <c r="CB113" i="16"/>
  <c r="BW113" i="16"/>
  <c r="BQ113" i="16"/>
  <c r="CA113" i="16"/>
  <c r="BV113" i="16"/>
  <c r="BR112" i="16"/>
  <c r="CB112" i="16"/>
  <c r="BW112" i="16"/>
  <c r="BQ112" i="16"/>
  <c r="CA112" i="16"/>
  <c r="BV112" i="16"/>
  <c r="BR111" i="16"/>
  <c r="CB111" i="16"/>
  <c r="BW111" i="16"/>
  <c r="BQ111" i="16"/>
  <c r="CA111" i="16"/>
  <c r="BV111" i="16"/>
  <c r="BR110" i="16"/>
  <c r="CB110" i="16"/>
  <c r="BW110" i="16"/>
  <c r="BQ110" i="16"/>
  <c r="CA110" i="16"/>
  <c r="BV110" i="16"/>
  <c r="BR109" i="16"/>
  <c r="CB109" i="16"/>
  <c r="BW109" i="16"/>
  <c r="CA109" i="16"/>
  <c r="BV109" i="16"/>
  <c r="BR108" i="16"/>
  <c r="CB108" i="16"/>
  <c r="BW108" i="16"/>
  <c r="BQ108" i="16"/>
  <c r="CA108" i="16"/>
  <c r="BV108" i="16"/>
  <c r="BR107" i="16"/>
  <c r="CB107" i="16"/>
  <c r="BW107" i="16"/>
  <c r="BQ107" i="16"/>
  <c r="CA107" i="16"/>
  <c r="BV107" i="16"/>
  <c r="BR106" i="16"/>
  <c r="CB106" i="16"/>
  <c r="BW106" i="16"/>
  <c r="BQ106" i="16"/>
  <c r="CA106" i="16"/>
  <c r="BV106" i="16"/>
  <c r="CB105" i="16"/>
  <c r="BW105" i="16"/>
  <c r="BQ105" i="16"/>
  <c r="CA105" i="16"/>
  <c r="BV105" i="16"/>
  <c r="CB104" i="16"/>
  <c r="BW104" i="16"/>
  <c r="BQ104" i="16"/>
  <c r="CA104" i="16"/>
  <c r="BV104" i="16"/>
  <c r="BR103" i="16"/>
  <c r="CB103" i="16"/>
  <c r="BW103" i="16"/>
  <c r="BQ103" i="16"/>
  <c r="CA103" i="16"/>
  <c r="BV103" i="16"/>
  <c r="BR102" i="16"/>
  <c r="CB102" i="16"/>
  <c r="BW102" i="16"/>
  <c r="BQ102" i="16"/>
  <c r="CA102" i="16"/>
  <c r="BV102" i="16"/>
  <c r="BR101" i="16"/>
  <c r="CB101" i="16"/>
  <c r="BW101" i="16"/>
  <c r="BQ101" i="16"/>
  <c r="CA101" i="16"/>
  <c r="BV101" i="16"/>
  <c r="BR100" i="16"/>
  <c r="CB100" i="16"/>
  <c r="BW100" i="16"/>
  <c r="BQ100" i="16"/>
  <c r="CA100" i="16"/>
  <c r="BV100" i="16"/>
  <c r="BR99" i="16"/>
  <c r="CB99" i="16"/>
  <c r="BW99" i="16"/>
  <c r="BQ99" i="16"/>
  <c r="CA99" i="16"/>
  <c r="BV99" i="16"/>
  <c r="BR98" i="16"/>
  <c r="CB98" i="16"/>
  <c r="BW98" i="16"/>
  <c r="BQ98" i="16"/>
  <c r="CA98" i="16"/>
  <c r="BV98" i="16"/>
  <c r="BR97" i="16"/>
  <c r="CB97" i="16"/>
  <c r="BW97" i="16"/>
  <c r="BQ97" i="16"/>
  <c r="CA97" i="16"/>
  <c r="BV97" i="16"/>
  <c r="BR96" i="16"/>
  <c r="CB96" i="16"/>
  <c r="BW96" i="16"/>
  <c r="BQ96" i="16"/>
  <c r="CA96" i="16"/>
  <c r="BV96" i="16"/>
  <c r="BR95" i="16"/>
  <c r="CB95" i="16"/>
  <c r="BW95" i="16"/>
  <c r="BQ95" i="16"/>
  <c r="CA95" i="16"/>
  <c r="BV95" i="16"/>
  <c r="CB94" i="16"/>
  <c r="BW94" i="16"/>
  <c r="BQ94" i="16"/>
  <c r="CA94" i="16"/>
  <c r="BV94" i="16"/>
  <c r="BR93" i="16"/>
  <c r="CB93" i="16"/>
  <c r="BW93" i="16"/>
  <c r="BQ93" i="16"/>
  <c r="CA93" i="16"/>
  <c r="BV93" i="16"/>
  <c r="BR92" i="16"/>
  <c r="CB92" i="16"/>
  <c r="BW92" i="16"/>
  <c r="BQ92" i="16"/>
  <c r="CA92" i="16"/>
  <c r="BV92" i="16"/>
  <c r="BR91" i="16"/>
  <c r="CB91" i="16"/>
  <c r="BW91" i="16"/>
  <c r="BQ91" i="16"/>
  <c r="CA91" i="16"/>
  <c r="BV91" i="16"/>
  <c r="BR90" i="16"/>
  <c r="CB90" i="16"/>
  <c r="BW90" i="16"/>
  <c r="BQ90" i="16"/>
  <c r="CA90" i="16"/>
  <c r="BV90" i="16"/>
  <c r="BR89" i="16"/>
  <c r="CB89" i="16"/>
  <c r="BW89" i="16"/>
  <c r="BQ89" i="16"/>
  <c r="CA89" i="16"/>
  <c r="BV89" i="16"/>
  <c r="BR88" i="16"/>
  <c r="CB88" i="16"/>
  <c r="BW88" i="16"/>
  <c r="BQ88" i="16"/>
  <c r="CA88" i="16"/>
  <c r="BV88" i="16"/>
  <c r="BR87" i="16"/>
  <c r="CB87" i="16"/>
  <c r="BW87" i="16"/>
  <c r="BQ87" i="16"/>
  <c r="CA87" i="16"/>
  <c r="BV87" i="16"/>
  <c r="BR86" i="16"/>
  <c r="CB86" i="16"/>
  <c r="BW86" i="16"/>
  <c r="CA86" i="16"/>
  <c r="BV86" i="16"/>
  <c r="BR85" i="16"/>
  <c r="CB85" i="16"/>
  <c r="BW85" i="16"/>
  <c r="BQ85" i="16"/>
  <c r="CA85" i="16"/>
  <c r="BV85" i="16"/>
  <c r="BR84" i="16"/>
  <c r="CB84" i="16"/>
  <c r="BW84" i="16"/>
  <c r="BQ84" i="16"/>
  <c r="CA84" i="16"/>
  <c r="BV84" i="16"/>
  <c r="BR83" i="16"/>
  <c r="CB83" i="16"/>
  <c r="BW83" i="16"/>
  <c r="BQ83" i="16"/>
  <c r="CA83" i="16"/>
  <c r="BV83" i="16"/>
  <c r="BR82" i="16"/>
  <c r="CB82" i="16"/>
  <c r="BW82" i="16"/>
  <c r="BQ82" i="16"/>
  <c r="CA82" i="16"/>
  <c r="BV82" i="16"/>
  <c r="BR81" i="16"/>
  <c r="CB81" i="16"/>
  <c r="BW81" i="16"/>
  <c r="BQ81" i="16"/>
  <c r="CA81" i="16"/>
  <c r="BV81" i="16"/>
  <c r="BR80" i="16"/>
  <c r="CB80" i="16"/>
  <c r="BW80" i="16"/>
  <c r="BQ80" i="16"/>
  <c r="CA80" i="16"/>
  <c r="BV80" i="16"/>
  <c r="BR79" i="16"/>
  <c r="CB79" i="16"/>
  <c r="BW79" i="16"/>
  <c r="BQ79" i="16"/>
  <c r="CA79" i="16"/>
  <c r="BV79" i="16"/>
  <c r="BR78" i="16"/>
  <c r="CB78" i="16"/>
  <c r="BW78" i="16"/>
  <c r="BQ78" i="16"/>
  <c r="CA78" i="16"/>
  <c r="BV78" i="16"/>
  <c r="BR77" i="16"/>
  <c r="CB77" i="16"/>
  <c r="BW77" i="16"/>
  <c r="BQ77" i="16"/>
  <c r="CA77" i="16"/>
  <c r="BV77" i="16"/>
  <c r="BR76" i="16"/>
  <c r="CB76" i="16"/>
  <c r="BW76" i="16"/>
  <c r="BQ76" i="16"/>
  <c r="CA76" i="16"/>
  <c r="BV76" i="16"/>
  <c r="BR75" i="16"/>
  <c r="CB75" i="16"/>
  <c r="BW75" i="16"/>
  <c r="BQ75" i="16"/>
  <c r="CA75" i="16"/>
  <c r="BV75" i="16"/>
  <c r="BR74" i="16"/>
  <c r="CB74" i="16"/>
  <c r="BW74" i="16"/>
  <c r="BQ74" i="16"/>
  <c r="CA74" i="16"/>
  <c r="BV74" i="16"/>
  <c r="BR73" i="16"/>
  <c r="CB73" i="16"/>
  <c r="BW73" i="16"/>
  <c r="BQ73" i="16"/>
  <c r="CA73" i="16"/>
  <c r="BV73" i="16"/>
  <c r="BR72" i="16"/>
  <c r="CB72" i="16"/>
  <c r="BW72" i="16"/>
  <c r="BQ72" i="16"/>
  <c r="CA72" i="16"/>
  <c r="BV72" i="16"/>
  <c r="BR71" i="16"/>
  <c r="CB71" i="16"/>
  <c r="BW71" i="16"/>
  <c r="BQ71" i="16"/>
  <c r="CA71" i="16"/>
  <c r="BV71" i="16"/>
  <c r="BR70" i="16"/>
  <c r="CB70" i="16"/>
  <c r="BW70" i="16"/>
  <c r="BQ70" i="16"/>
  <c r="CA70" i="16"/>
  <c r="BV70" i="16"/>
  <c r="BR69" i="16"/>
  <c r="CB69" i="16"/>
  <c r="BW69" i="16"/>
  <c r="BQ69" i="16"/>
  <c r="CA69" i="16"/>
  <c r="BV69" i="16"/>
  <c r="BR68" i="16"/>
  <c r="CB68" i="16"/>
  <c r="BW68" i="16"/>
  <c r="BQ68" i="16"/>
  <c r="CA68" i="16"/>
  <c r="BV68" i="16"/>
  <c r="BR67" i="16"/>
  <c r="CB67" i="16"/>
  <c r="BW67" i="16"/>
  <c r="BQ67" i="16"/>
  <c r="CA67" i="16"/>
  <c r="BV67" i="16"/>
  <c r="BR66" i="16"/>
  <c r="CB66" i="16"/>
  <c r="BW66" i="16"/>
  <c r="BQ66" i="16"/>
  <c r="CA66" i="16"/>
  <c r="BV66" i="16"/>
  <c r="BR65" i="16"/>
  <c r="CB65" i="16"/>
  <c r="BW65" i="16"/>
  <c r="BQ65" i="16"/>
  <c r="CA65" i="16"/>
  <c r="BV65" i="16"/>
  <c r="BR64" i="16"/>
  <c r="CB64" i="16"/>
  <c r="BW64" i="16"/>
  <c r="BQ64" i="16"/>
  <c r="CA64" i="16"/>
  <c r="BV64" i="16"/>
  <c r="BR63" i="16"/>
  <c r="CB63" i="16"/>
  <c r="BW63" i="16"/>
  <c r="BQ63" i="16"/>
  <c r="CA63" i="16"/>
  <c r="BV63" i="16"/>
  <c r="BR62" i="16"/>
  <c r="CB62" i="16"/>
  <c r="BW62" i="16"/>
  <c r="BQ62" i="16"/>
  <c r="CA62" i="16"/>
  <c r="BV62" i="16"/>
  <c r="BR61" i="16"/>
  <c r="CB61" i="16"/>
  <c r="BW61" i="16"/>
  <c r="BQ61" i="16"/>
  <c r="CA61" i="16"/>
  <c r="BV61" i="16"/>
  <c r="BR60" i="16"/>
  <c r="CB60" i="16"/>
  <c r="BW60" i="16"/>
  <c r="BQ60" i="16"/>
  <c r="CA60" i="16"/>
  <c r="BV60" i="16"/>
  <c r="BR59" i="16"/>
  <c r="CB59" i="16"/>
  <c r="BW59" i="16"/>
  <c r="BQ59" i="16"/>
  <c r="CA59" i="16"/>
  <c r="BV59" i="16"/>
  <c r="BR58" i="16"/>
  <c r="CB58" i="16"/>
  <c r="BW58" i="16"/>
  <c r="BQ58" i="16"/>
  <c r="CA58" i="16"/>
  <c r="BV58" i="16"/>
  <c r="BR57" i="16"/>
  <c r="CB57" i="16"/>
  <c r="BW57" i="16"/>
  <c r="BQ57" i="16"/>
  <c r="CA57" i="16"/>
  <c r="BV57" i="16"/>
  <c r="BR56" i="16"/>
  <c r="CB56" i="16"/>
  <c r="BW56" i="16"/>
  <c r="BQ56" i="16"/>
  <c r="CA56" i="16"/>
  <c r="BV56" i="16"/>
  <c r="BR55" i="16"/>
  <c r="CB55" i="16"/>
  <c r="BW55" i="16"/>
  <c r="BQ55" i="16"/>
  <c r="CA55" i="16"/>
  <c r="BV55" i="16"/>
  <c r="BR54" i="16"/>
  <c r="CB54" i="16"/>
  <c r="BW54" i="16"/>
  <c r="BQ54" i="16"/>
  <c r="CA54" i="16"/>
  <c r="BV54" i="16"/>
  <c r="BR53" i="16"/>
  <c r="CB53" i="16"/>
  <c r="BW53" i="16"/>
  <c r="BQ53" i="16"/>
  <c r="CA53" i="16"/>
  <c r="BV53" i="16"/>
  <c r="BR52" i="16"/>
  <c r="CB52" i="16"/>
  <c r="BW52" i="16"/>
  <c r="BQ52" i="16"/>
  <c r="CA52" i="16"/>
  <c r="BV52" i="16"/>
  <c r="CB51" i="16"/>
  <c r="BW51" i="16"/>
  <c r="BQ51" i="16"/>
  <c r="CA51" i="16"/>
  <c r="BV51" i="16"/>
  <c r="BR50" i="16"/>
  <c r="CB50" i="16"/>
  <c r="BW50" i="16"/>
  <c r="BQ50" i="16"/>
  <c r="CA50" i="16"/>
  <c r="BV50" i="16"/>
  <c r="BR49" i="16"/>
  <c r="CB49" i="16"/>
  <c r="BW49" i="16"/>
  <c r="CA49" i="16"/>
  <c r="BV49" i="16"/>
  <c r="BR48" i="16"/>
  <c r="CB48" i="16"/>
  <c r="BW48" i="16"/>
  <c r="BQ48" i="16"/>
  <c r="CA48" i="16"/>
  <c r="BV48" i="16"/>
  <c r="BR47" i="16"/>
  <c r="CB47" i="16"/>
  <c r="BW47" i="16"/>
  <c r="BQ47" i="16"/>
  <c r="CA47" i="16"/>
  <c r="BV47" i="16"/>
  <c r="BR46" i="16"/>
  <c r="CB46" i="16"/>
  <c r="BW46" i="16"/>
  <c r="BQ46" i="16"/>
  <c r="CA46" i="16"/>
  <c r="BV46" i="16"/>
  <c r="BR45" i="16"/>
  <c r="CB45" i="16"/>
  <c r="BW45" i="16"/>
  <c r="BQ45" i="16"/>
  <c r="CA45" i="16"/>
  <c r="BV45" i="16"/>
  <c r="BR44" i="16"/>
  <c r="CB44" i="16"/>
  <c r="BW44" i="16"/>
  <c r="BQ44" i="16"/>
  <c r="CA44" i="16"/>
  <c r="BV44" i="16"/>
  <c r="BR43" i="16"/>
  <c r="CB43" i="16"/>
  <c r="BW43" i="16"/>
  <c r="BQ43" i="16"/>
  <c r="CA43" i="16"/>
  <c r="BV43" i="16"/>
  <c r="BR42" i="16"/>
  <c r="CB42" i="16"/>
  <c r="BW42" i="16"/>
  <c r="BQ42" i="16"/>
  <c r="CA42" i="16"/>
  <c r="BV42" i="16"/>
  <c r="BR41" i="16"/>
  <c r="CB41" i="16"/>
  <c r="BW41" i="16"/>
  <c r="BQ41" i="16"/>
  <c r="CA41" i="16"/>
  <c r="BV41" i="16"/>
  <c r="BR40" i="16"/>
  <c r="CB40" i="16"/>
  <c r="BW40" i="16"/>
  <c r="BQ40" i="16"/>
  <c r="CA40" i="16"/>
  <c r="BV40" i="16"/>
  <c r="BR39" i="16"/>
  <c r="CB39" i="16"/>
  <c r="BW39" i="16"/>
  <c r="BQ39" i="16"/>
  <c r="CA39" i="16"/>
  <c r="BV39" i="16"/>
  <c r="BR38" i="16"/>
  <c r="CB38" i="16"/>
  <c r="BW38" i="16"/>
  <c r="BQ38" i="16"/>
  <c r="CA38" i="16"/>
  <c r="BV38" i="16"/>
  <c r="BR37" i="16"/>
  <c r="CB37" i="16"/>
  <c r="BW37" i="16"/>
  <c r="BQ37" i="16"/>
  <c r="CA37" i="16"/>
  <c r="BV37" i="16"/>
  <c r="BR36" i="16"/>
  <c r="CB36" i="16"/>
  <c r="BW36" i="16"/>
  <c r="BQ36" i="16"/>
  <c r="CA36" i="16"/>
  <c r="BV36" i="16"/>
  <c r="BR35" i="16"/>
  <c r="CB35" i="16"/>
  <c r="BW35" i="16"/>
  <c r="BQ35" i="16"/>
  <c r="CA35" i="16"/>
  <c r="BV35" i="16"/>
  <c r="BR34" i="16"/>
  <c r="CB34" i="16"/>
  <c r="BW34" i="16"/>
  <c r="BQ34" i="16"/>
  <c r="CA34" i="16"/>
  <c r="BV34" i="16"/>
  <c r="BR33" i="16"/>
  <c r="CB33" i="16"/>
  <c r="BW33" i="16"/>
  <c r="BQ33" i="16"/>
  <c r="CA33" i="16"/>
  <c r="BV33" i="16"/>
  <c r="BR32" i="16"/>
  <c r="CB32" i="16"/>
  <c r="BW32" i="16"/>
  <c r="BQ32" i="16"/>
  <c r="CA32" i="16"/>
  <c r="BV32" i="16"/>
  <c r="BR31" i="16"/>
  <c r="CB31" i="16"/>
  <c r="BW31" i="16"/>
  <c r="BQ31" i="16"/>
  <c r="CA31" i="16"/>
  <c r="BV31" i="16"/>
  <c r="BR30" i="16"/>
  <c r="CB30" i="16"/>
  <c r="BW30" i="16"/>
  <c r="BQ30" i="16"/>
  <c r="CA30" i="16"/>
  <c r="BV30" i="16"/>
  <c r="BR29" i="16"/>
  <c r="CB29" i="16"/>
  <c r="BW29" i="16"/>
  <c r="BQ29" i="16"/>
  <c r="CA29" i="16"/>
  <c r="BV29" i="16"/>
  <c r="BR28" i="16"/>
  <c r="CB28" i="16"/>
  <c r="BW28" i="16"/>
  <c r="BQ28" i="16"/>
  <c r="CA28" i="16"/>
  <c r="BV28" i="16"/>
  <c r="BR27" i="16"/>
  <c r="CB27" i="16"/>
  <c r="BW27" i="16"/>
  <c r="BQ27" i="16"/>
  <c r="CA27" i="16"/>
  <c r="BV27" i="16"/>
  <c r="BR26" i="16"/>
  <c r="CB26" i="16"/>
  <c r="BW26" i="16"/>
  <c r="BQ26" i="16"/>
  <c r="CA26" i="16"/>
  <c r="BV26" i="16"/>
  <c r="BR25" i="16"/>
  <c r="CB25" i="16"/>
  <c r="BW25" i="16"/>
  <c r="BQ25" i="16"/>
  <c r="CA25" i="16"/>
  <c r="BV25" i="16"/>
  <c r="BR24" i="16"/>
  <c r="CB24" i="16"/>
  <c r="BW24" i="16"/>
  <c r="BQ24" i="16"/>
  <c r="CA24" i="16"/>
  <c r="BV24" i="16"/>
  <c r="BR23" i="16"/>
  <c r="CB23" i="16"/>
  <c r="BW23" i="16"/>
  <c r="BQ23" i="16"/>
  <c r="CA23" i="16"/>
  <c r="BV23" i="16"/>
  <c r="BR22" i="16"/>
  <c r="CB22" i="16"/>
  <c r="BW22" i="16"/>
  <c r="BQ22" i="16"/>
  <c r="CA22" i="16"/>
  <c r="BV22" i="16"/>
  <c r="BR21" i="16"/>
  <c r="CB21" i="16"/>
  <c r="BW21" i="16"/>
  <c r="BQ21" i="16"/>
  <c r="CA21" i="16"/>
  <c r="BV21" i="16"/>
  <c r="BR20" i="16"/>
  <c r="CB20" i="16"/>
  <c r="BW20" i="16"/>
  <c r="BQ20" i="16"/>
  <c r="CA20" i="16"/>
  <c r="BV20" i="16"/>
  <c r="BR19" i="16"/>
  <c r="CB19" i="16"/>
  <c r="BW19" i="16"/>
  <c r="BQ19" i="16"/>
  <c r="CA19" i="16"/>
  <c r="BV19" i="16"/>
  <c r="BR18" i="16"/>
  <c r="CB18" i="16"/>
  <c r="BW18" i="16"/>
  <c r="BQ18" i="16"/>
  <c r="CA18" i="16"/>
  <c r="BV18" i="16"/>
  <c r="BR17" i="16"/>
  <c r="CB17" i="16"/>
  <c r="BW17" i="16"/>
  <c r="BQ17" i="16"/>
  <c r="CA17" i="16"/>
  <c r="BV17" i="16"/>
  <c r="BR16" i="16"/>
  <c r="CB16" i="16"/>
  <c r="BW16" i="16"/>
  <c r="BQ16" i="16"/>
  <c r="CA16" i="16"/>
  <c r="BV16" i="16"/>
  <c r="BR15" i="16"/>
  <c r="CB15" i="16"/>
  <c r="BW15" i="16"/>
  <c r="BQ15" i="16"/>
  <c r="CA15" i="16"/>
  <c r="BV15" i="16"/>
  <c r="BR14" i="16"/>
  <c r="CB14" i="16"/>
  <c r="BW14" i="16"/>
  <c r="BQ14" i="16"/>
  <c r="CA14" i="16"/>
  <c r="BV14" i="16"/>
  <c r="BR13" i="16"/>
  <c r="CB13" i="16"/>
  <c r="BW13" i="16"/>
  <c r="BQ13" i="16"/>
  <c r="CA13" i="16"/>
  <c r="BV13" i="16"/>
  <c r="BR12" i="16"/>
  <c r="CB12" i="16"/>
  <c r="BW12" i="16"/>
  <c r="BQ12" i="16"/>
  <c r="CA12" i="16"/>
  <c r="BV12" i="16"/>
  <c r="BR11" i="16"/>
  <c r="CB11" i="16"/>
  <c r="BW11" i="16"/>
  <c r="BQ11" i="16"/>
  <c r="CA11" i="16"/>
  <c r="BV11" i="16"/>
  <c r="BR10" i="16"/>
  <c r="CB10" i="16"/>
  <c r="BW10" i="16"/>
  <c r="BQ10" i="16"/>
  <c r="CA10" i="16"/>
  <c r="BV10" i="16"/>
  <c r="BR9" i="16"/>
  <c r="CB9" i="16"/>
  <c r="BW9" i="16"/>
  <c r="BQ9" i="16"/>
  <c r="CA9" i="16"/>
  <c r="BV9" i="16"/>
  <c r="BR8" i="16"/>
  <c r="CB8" i="16"/>
  <c r="BW8" i="16"/>
  <c r="BQ8" i="16"/>
  <c r="CA8" i="16"/>
  <c r="BV8" i="16"/>
  <c r="BR7" i="16"/>
  <c r="CB7" i="16"/>
  <c r="BW7" i="16"/>
  <c r="BQ7" i="16"/>
  <c r="CA7" i="16"/>
  <c r="BV7" i="16"/>
  <c r="S116" i="16"/>
  <c r="J11" i="16" s="1"/>
  <c r="BQ6" i="16"/>
  <c r="T116" i="16"/>
  <c r="J12" i="16" s="1"/>
  <c r="BR6" i="16"/>
  <c r="Z7" i="16"/>
  <c r="Z8" i="16"/>
  <c r="Z9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Z30" i="16"/>
  <c r="Z31" i="16"/>
  <c r="Z32" i="16"/>
  <c r="Z33" i="16"/>
  <c r="Z34" i="16"/>
  <c r="Z35" i="16"/>
  <c r="Z36" i="16"/>
  <c r="Z37" i="16"/>
  <c r="Z38" i="16"/>
  <c r="Z39" i="16"/>
  <c r="Z40" i="16"/>
  <c r="Z41" i="16"/>
  <c r="Z42" i="16"/>
  <c r="Z43" i="16"/>
  <c r="Z44" i="16"/>
  <c r="Z45" i="16"/>
  <c r="Z46" i="16"/>
  <c r="Z47" i="16"/>
  <c r="Z48" i="16"/>
  <c r="Z49" i="16"/>
  <c r="Z50" i="16"/>
  <c r="Z51" i="16"/>
  <c r="Z52" i="16"/>
  <c r="Z53" i="16"/>
  <c r="Z54" i="16"/>
  <c r="Z55" i="16"/>
  <c r="Z56" i="16"/>
  <c r="Z57" i="16"/>
  <c r="Z58" i="16"/>
  <c r="Z59" i="16"/>
  <c r="Z60" i="16"/>
  <c r="Z61" i="16"/>
  <c r="Z62" i="16"/>
  <c r="Z63" i="16"/>
  <c r="Z64" i="16"/>
  <c r="Z65" i="16"/>
  <c r="Z66" i="16"/>
  <c r="Z67" i="16"/>
  <c r="Z68" i="16"/>
  <c r="Z69" i="16"/>
  <c r="Z70" i="16"/>
  <c r="Z71" i="16"/>
  <c r="Z72" i="16"/>
  <c r="Z73" i="16"/>
  <c r="Z74" i="16"/>
  <c r="Z75" i="16"/>
  <c r="Z76" i="16"/>
  <c r="Z77" i="16"/>
  <c r="Z78" i="16"/>
  <c r="Z79" i="16"/>
  <c r="Z80" i="16"/>
  <c r="Z81" i="16"/>
  <c r="Z82" i="16"/>
  <c r="Z83" i="16"/>
  <c r="Z84" i="16"/>
  <c r="Z85" i="16"/>
  <c r="Z86" i="16"/>
  <c r="Z87" i="16"/>
  <c r="Z88" i="16"/>
  <c r="Z89" i="16"/>
  <c r="Z90" i="16"/>
  <c r="Z91" i="16"/>
  <c r="Z92" i="16"/>
  <c r="Z93" i="16"/>
  <c r="Z94" i="16"/>
  <c r="Z95" i="16"/>
  <c r="Z96" i="16"/>
  <c r="Z97" i="16"/>
  <c r="Z98" i="16"/>
  <c r="Z99" i="16"/>
  <c r="Z100" i="16"/>
  <c r="Z101" i="16"/>
  <c r="Z102" i="16"/>
  <c r="Z103" i="16"/>
  <c r="Z104" i="16"/>
  <c r="Z105" i="16"/>
  <c r="Z106" i="16"/>
  <c r="Z107" i="16"/>
  <c r="Z108" i="16"/>
  <c r="Z109" i="16"/>
  <c r="Z110" i="16"/>
  <c r="Z111" i="16"/>
  <c r="Z112" i="16"/>
  <c r="Z113" i="16"/>
  <c r="Z114" i="16"/>
  <c r="Z115" i="16"/>
  <c r="Z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Y31" i="16"/>
  <c r="Y32" i="16"/>
  <c r="Y33" i="16"/>
  <c r="Y34" i="16"/>
  <c r="Y35" i="16"/>
  <c r="Y36" i="16"/>
  <c r="Y37" i="16"/>
  <c r="Y38" i="16"/>
  <c r="Y39" i="16"/>
  <c r="Y40" i="16"/>
  <c r="Y41" i="16"/>
  <c r="Y42" i="16"/>
  <c r="Y43" i="16"/>
  <c r="Y44" i="16"/>
  <c r="Y45" i="16"/>
  <c r="Y46" i="16"/>
  <c r="Y47" i="16"/>
  <c r="Y48" i="16"/>
  <c r="Y49" i="16"/>
  <c r="Y50" i="16"/>
  <c r="Y51" i="16"/>
  <c r="Y52" i="16"/>
  <c r="Y53" i="16"/>
  <c r="Y54" i="16"/>
  <c r="Y55" i="16"/>
  <c r="Y56" i="16"/>
  <c r="Y57" i="16"/>
  <c r="Y58" i="16"/>
  <c r="Y59" i="16"/>
  <c r="Y60" i="16"/>
  <c r="Y61" i="16"/>
  <c r="Y62" i="16"/>
  <c r="Y63" i="16"/>
  <c r="Y64" i="16"/>
  <c r="Y65" i="16"/>
  <c r="Y66" i="16"/>
  <c r="Y67" i="16"/>
  <c r="Y68" i="16"/>
  <c r="Y69" i="16"/>
  <c r="Y70" i="16"/>
  <c r="Y71" i="16"/>
  <c r="Y72" i="16"/>
  <c r="Y73" i="16"/>
  <c r="Y74" i="16"/>
  <c r="Y75" i="16"/>
  <c r="Y76" i="16"/>
  <c r="Y77" i="16"/>
  <c r="Y78" i="16"/>
  <c r="Y79" i="16"/>
  <c r="Y80" i="16"/>
  <c r="Y81" i="16"/>
  <c r="Y82" i="16"/>
  <c r="Y83" i="16"/>
  <c r="Y84" i="16"/>
  <c r="Y85" i="16"/>
  <c r="Y86" i="16"/>
  <c r="Y87" i="16"/>
  <c r="Y88" i="16"/>
  <c r="Y89" i="16"/>
  <c r="Y90" i="16"/>
  <c r="Y91" i="16"/>
  <c r="Y92" i="16"/>
  <c r="Y93" i="16"/>
  <c r="Y94" i="16"/>
  <c r="Y95" i="16"/>
  <c r="Y96" i="16"/>
  <c r="Y97" i="16"/>
  <c r="Y98" i="16"/>
  <c r="Y99" i="16"/>
  <c r="Y100" i="16"/>
  <c r="Y101" i="16"/>
  <c r="Y102" i="16"/>
  <c r="Y103" i="16"/>
  <c r="Y104" i="16"/>
  <c r="Y105" i="16"/>
  <c r="Y106" i="16"/>
  <c r="Y107" i="16"/>
  <c r="Y108" i="16"/>
  <c r="Y109" i="16"/>
  <c r="Y110" i="16"/>
  <c r="Y111" i="16"/>
  <c r="Y112" i="16"/>
  <c r="Y113" i="16"/>
  <c r="Y114" i="16"/>
  <c r="Y115" i="16"/>
  <c r="Y6" i="16"/>
  <c r="X7" i="16"/>
  <c r="X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X30" i="16"/>
  <c r="X31" i="16"/>
  <c r="X32" i="16"/>
  <c r="X33" i="16"/>
  <c r="X34" i="16"/>
  <c r="X35" i="16"/>
  <c r="X36" i="16"/>
  <c r="X37" i="16"/>
  <c r="X38" i="16"/>
  <c r="X39" i="16"/>
  <c r="X40" i="16"/>
  <c r="X41" i="16"/>
  <c r="X42" i="16"/>
  <c r="X43" i="16"/>
  <c r="X44" i="16"/>
  <c r="X45" i="16"/>
  <c r="X46" i="16"/>
  <c r="X47" i="16"/>
  <c r="X48" i="16"/>
  <c r="X49" i="16"/>
  <c r="X50" i="16"/>
  <c r="X51" i="16"/>
  <c r="X52" i="16"/>
  <c r="X53" i="16"/>
  <c r="X54" i="16"/>
  <c r="X55" i="16"/>
  <c r="X56" i="16"/>
  <c r="X57" i="16"/>
  <c r="X58" i="16"/>
  <c r="X59" i="16"/>
  <c r="X60" i="16"/>
  <c r="X61" i="16"/>
  <c r="X62" i="16"/>
  <c r="X63" i="16"/>
  <c r="X64" i="16"/>
  <c r="X65" i="16"/>
  <c r="X66" i="16"/>
  <c r="X67" i="16"/>
  <c r="X68" i="16"/>
  <c r="X69" i="16"/>
  <c r="X70" i="16"/>
  <c r="X71" i="16"/>
  <c r="X72" i="16"/>
  <c r="X73" i="16"/>
  <c r="X74" i="16"/>
  <c r="X75" i="16"/>
  <c r="X76" i="16"/>
  <c r="X77" i="16"/>
  <c r="X78" i="16"/>
  <c r="X79" i="16"/>
  <c r="X80" i="16"/>
  <c r="X81" i="16"/>
  <c r="X82" i="16"/>
  <c r="X83" i="16"/>
  <c r="X84" i="16"/>
  <c r="X85" i="16"/>
  <c r="X86" i="16"/>
  <c r="X87" i="16"/>
  <c r="X88" i="16"/>
  <c r="X89" i="16"/>
  <c r="X90" i="16"/>
  <c r="X91" i="16"/>
  <c r="X92" i="16"/>
  <c r="X93" i="16"/>
  <c r="X94" i="16"/>
  <c r="X95" i="16"/>
  <c r="X96" i="16"/>
  <c r="X97" i="16"/>
  <c r="X98" i="16"/>
  <c r="X99" i="16"/>
  <c r="X100" i="16"/>
  <c r="X101" i="16"/>
  <c r="X102" i="16"/>
  <c r="X103" i="16"/>
  <c r="X104" i="16"/>
  <c r="X105" i="16"/>
  <c r="X106" i="16"/>
  <c r="X107" i="16"/>
  <c r="X108" i="16"/>
  <c r="X109" i="16"/>
  <c r="X110" i="16"/>
  <c r="X111" i="16"/>
  <c r="X112" i="16"/>
  <c r="X113" i="16"/>
  <c r="X114" i="16"/>
  <c r="X115" i="16"/>
  <c r="X6" i="16"/>
  <c r="W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W30" i="16"/>
  <c r="W31" i="16"/>
  <c r="W32" i="16"/>
  <c r="W33" i="16"/>
  <c r="W34" i="16"/>
  <c r="W35" i="16"/>
  <c r="W36" i="16"/>
  <c r="W37" i="16"/>
  <c r="W38" i="16"/>
  <c r="W39" i="16"/>
  <c r="W40" i="16"/>
  <c r="W41" i="16"/>
  <c r="W42" i="16"/>
  <c r="W43" i="16"/>
  <c r="W44" i="16"/>
  <c r="W45" i="16"/>
  <c r="W46" i="16"/>
  <c r="W47" i="16"/>
  <c r="W48" i="16"/>
  <c r="W49" i="16"/>
  <c r="W50" i="16"/>
  <c r="W51" i="16"/>
  <c r="W52" i="16"/>
  <c r="W53" i="16"/>
  <c r="W54" i="16"/>
  <c r="W55" i="16"/>
  <c r="W56" i="16"/>
  <c r="W57" i="16"/>
  <c r="W58" i="16"/>
  <c r="W59" i="16"/>
  <c r="W60" i="16"/>
  <c r="W61" i="16"/>
  <c r="W62" i="16"/>
  <c r="W63" i="16"/>
  <c r="W64" i="16"/>
  <c r="W65" i="16"/>
  <c r="W66" i="16"/>
  <c r="W67" i="16"/>
  <c r="W68" i="16"/>
  <c r="W69" i="16"/>
  <c r="W70" i="16"/>
  <c r="W71" i="16"/>
  <c r="W72" i="16"/>
  <c r="W73" i="16"/>
  <c r="W74" i="16"/>
  <c r="W75" i="16"/>
  <c r="W76" i="16"/>
  <c r="W77" i="16"/>
  <c r="W78" i="16"/>
  <c r="W79" i="16"/>
  <c r="W80" i="16"/>
  <c r="W81" i="16"/>
  <c r="W82" i="16"/>
  <c r="W83" i="16"/>
  <c r="W84" i="16"/>
  <c r="W85" i="16"/>
  <c r="W86" i="16"/>
  <c r="W87" i="16"/>
  <c r="W88" i="16"/>
  <c r="W89" i="16"/>
  <c r="W90" i="16"/>
  <c r="W91" i="16"/>
  <c r="W92" i="16"/>
  <c r="W93" i="16"/>
  <c r="W94" i="16"/>
  <c r="W95" i="16"/>
  <c r="W96" i="16"/>
  <c r="W97" i="16"/>
  <c r="W98" i="16"/>
  <c r="W99" i="16"/>
  <c r="W100" i="16"/>
  <c r="W101" i="16"/>
  <c r="W102" i="16"/>
  <c r="W103" i="16"/>
  <c r="W104" i="16"/>
  <c r="W105" i="16"/>
  <c r="W106" i="16"/>
  <c r="W107" i="16"/>
  <c r="W108" i="16"/>
  <c r="W109" i="16"/>
  <c r="W110" i="16"/>
  <c r="W111" i="16"/>
  <c r="W112" i="16"/>
  <c r="W113" i="16"/>
  <c r="W114" i="16"/>
  <c r="W115" i="16"/>
  <c r="W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V31" i="16"/>
  <c r="V32" i="16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1" i="16"/>
  <c r="V52" i="16"/>
  <c r="V53" i="16"/>
  <c r="V5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67" i="16"/>
  <c r="V68" i="16"/>
  <c r="V69" i="16"/>
  <c r="V70" i="16"/>
  <c r="V71" i="16"/>
  <c r="V72" i="16"/>
  <c r="V73" i="16"/>
  <c r="V74" i="16"/>
  <c r="V75" i="16"/>
  <c r="V76" i="16"/>
  <c r="V77" i="16"/>
  <c r="V78" i="16"/>
  <c r="V79" i="16"/>
  <c r="V80" i="16"/>
  <c r="V81" i="16"/>
  <c r="V82" i="16"/>
  <c r="V83" i="16"/>
  <c r="V84" i="16"/>
  <c r="V85" i="16"/>
  <c r="V86" i="16"/>
  <c r="V87" i="16"/>
  <c r="V88" i="16"/>
  <c r="V89" i="16"/>
  <c r="V90" i="16"/>
  <c r="V91" i="16"/>
  <c r="V92" i="16"/>
  <c r="V93" i="16"/>
  <c r="V94" i="16"/>
  <c r="V95" i="16"/>
  <c r="V96" i="16"/>
  <c r="V97" i="16"/>
  <c r="V98" i="16"/>
  <c r="V99" i="16"/>
  <c r="V100" i="16"/>
  <c r="V101" i="16"/>
  <c r="V102" i="16"/>
  <c r="V103" i="16"/>
  <c r="V104" i="16"/>
  <c r="V105" i="16"/>
  <c r="V106" i="16"/>
  <c r="V107" i="16"/>
  <c r="V108" i="16"/>
  <c r="V109" i="16"/>
  <c r="V110" i="16"/>
  <c r="V111" i="16"/>
  <c r="V112" i="16"/>
  <c r="V113" i="16"/>
  <c r="V114" i="16"/>
  <c r="V115" i="16"/>
  <c r="V6" i="16"/>
  <c r="R7" i="16"/>
  <c r="CM7" i="16" s="1"/>
  <c r="CQ7" i="16" s="1"/>
  <c r="CU7" i="16" s="1"/>
  <c r="R8" i="16"/>
  <c r="CM8" i="16" s="1"/>
  <c r="CQ8" i="16" s="1"/>
  <c r="CU8" i="16" s="1"/>
  <c r="R9" i="16"/>
  <c r="CM9" i="16" s="1"/>
  <c r="CQ9" i="16" s="1"/>
  <c r="CU9" i="16" s="1"/>
  <c r="R10" i="16"/>
  <c r="CM10" i="16" s="1"/>
  <c r="CQ10" i="16" s="1"/>
  <c r="CU10" i="16" s="1"/>
  <c r="R11" i="16"/>
  <c r="CM11" i="16" s="1"/>
  <c r="CQ11" i="16" s="1"/>
  <c r="CU11" i="16" s="1"/>
  <c r="R12" i="16"/>
  <c r="CM12" i="16" s="1"/>
  <c r="CQ12" i="16" s="1"/>
  <c r="CU12" i="16" s="1"/>
  <c r="R13" i="16"/>
  <c r="CM13" i="16" s="1"/>
  <c r="CQ13" i="16" s="1"/>
  <c r="CU13" i="16" s="1"/>
  <c r="R14" i="16"/>
  <c r="CM14" i="16" s="1"/>
  <c r="CQ14" i="16" s="1"/>
  <c r="CU14" i="16" s="1"/>
  <c r="R15" i="16"/>
  <c r="CM15" i="16" s="1"/>
  <c r="CQ15" i="16" s="1"/>
  <c r="CU15" i="16" s="1"/>
  <c r="R16" i="16"/>
  <c r="CM16" i="16" s="1"/>
  <c r="CQ16" i="16" s="1"/>
  <c r="CU16" i="16" s="1"/>
  <c r="R17" i="16"/>
  <c r="CM17" i="16" s="1"/>
  <c r="CQ17" i="16" s="1"/>
  <c r="CU17" i="16" s="1"/>
  <c r="R18" i="16"/>
  <c r="CM18" i="16" s="1"/>
  <c r="CQ18" i="16" s="1"/>
  <c r="CU18" i="16" s="1"/>
  <c r="R19" i="16"/>
  <c r="CM19" i="16" s="1"/>
  <c r="CQ19" i="16" s="1"/>
  <c r="CU19" i="16" s="1"/>
  <c r="R20" i="16"/>
  <c r="CM20" i="16" s="1"/>
  <c r="CQ20" i="16" s="1"/>
  <c r="CU20" i="16" s="1"/>
  <c r="R21" i="16"/>
  <c r="CM21" i="16" s="1"/>
  <c r="CQ21" i="16" s="1"/>
  <c r="CU21" i="16" s="1"/>
  <c r="R22" i="16"/>
  <c r="CM22" i="16" s="1"/>
  <c r="CQ22" i="16" s="1"/>
  <c r="CU22" i="16" s="1"/>
  <c r="R23" i="16"/>
  <c r="CM23" i="16" s="1"/>
  <c r="CQ23" i="16" s="1"/>
  <c r="CU23" i="16" s="1"/>
  <c r="R24" i="16"/>
  <c r="CM24" i="16" s="1"/>
  <c r="CQ24" i="16" s="1"/>
  <c r="CU24" i="16" s="1"/>
  <c r="R25" i="16"/>
  <c r="CM25" i="16" s="1"/>
  <c r="CQ25" i="16" s="1"/>
  <c r="CU25" i="16" s="1"/>
  <c r="R26" i="16"/>
  <c r="CM26" i="16" s="1"/>
  <c r="CQ26" i="16" s="1"/>
  <c r="CU26" i="16" s="1"/>
  <c r="R27" i="16"/>
  <c r="CM27" i="16" s="1"/>
  <c r="CQ27" i="16" s="1"/>
  <c r="CU27" i="16" s="1"/>
  <c r="R28" i="16"/>
  <c r="CM28" i="16" s="1"/>
  <c r="CQ28" i="16" s="1"/>
  <c r="CU28" i="16" s="1"/>
  <c r="R29" i="16"/>
  <c r="CM29" i="16" s="1"/>
  <c r="CQ29" i="16" s="1"/>
  <c r="CU29" i="16" s="1"/>
  <c r="R30" i="16"/>
  <c r="CM30" i="16" s="1"/>
  <c r="CQ30" i="16" s="1"/>
  <c r="CU30" i="16" s="1"/>
  <c r="R31" i="16"/>
  <c r="CM31" i="16" s="1"/>
  <c r="CQ31" i="16" s="1"/>
  <c r="CU31" i="16" s="1"/>
  <c r="R32" i="16"/>
  <c r="CM32" i="16" s="1"/>
  <c r="CQ32" i="16" s="1"/>
  <c r="CU32" i="16" s="1"/>
  <c r="R33" i="16"/>
  <c r="CM33" i="16" s="1"/>
  <c r="CQ33" i="16" s="1"/>
  <c r="CU33" i="16" s="1"/>
  <c r="R34" i="16"/>
  <c r="CM34" i="16" s="1"/>
  <c r="CQ34" i="16" s="1"/>
  <c r="CU34" i="16" s="1"/>
  <c r="R35" i="16"/>
  <c r="CM35" i="16" s="1"/>
  <c r="CQ35" i="16" s="1"/>
  <c r="CU35" i="16" s="1"/>
  <c r="R36" i="16"/>
  <c r="CM36" i="16" s="1"/>
  <c r="CQ36" i="16" s="1"/>
  <c r="CU36" i="16" s="1"/>
  <c r="R37" i="16"/>
  <c r="CM37" i="16" s="1"/>
  <c r="CQ37" i="16" s="1"/>
  <c r="CU37" i="16" s="1"/>
  <c r="R38" i="16"/>
  <c r="CM38" i="16" s="1"/>
  <c r="CQ38" i="16" s="1"/>
  <c r="CU38" i="16" s="1"/>
  <c r="R39" i="16"/>
  <c r="CM39" i="16" s="1"/>
  <c r="CQ39" i="16" s="1"/>
  <c r="CU39" i="16" s="1"/>
  <c r="R40" i="16"/>
  <c r="CM40" i="16" s="1"/>
  <c r="CQ40" i="16" s="1"/>
  <c r="CU40" i="16" s="1"/>
  <c r="R41" i="16"/>
  <c r="CM41" i="16" s="1"/>
  <c r="CQ41" i="16" s="1"/>
  <c r="CU41" i="16" s="1"/>
  <c r="R42" i="16"/>
  <c r="CM42" i="16" s="1"/>
  <c r="CQ42" i="16" s="1"/>
  <c r="CU42" i="16" s="1"/>
  <c r="R43" i="16"/>
  <c r="CM43" i="16" s="1"/>
  <c r="CQ43" i="16" s="1"/>
  <c r="CU43" i="16" s="1"/>
  <c r="R44" i="16"/>
  <c r="CM44" i="16" s="1"/>
  <c r="CQ44" i="16" s="1"/>
  <c r="CU44" i="16" s="1"/>
  <c r="R45" i="16"/>
  <c r="CM45" i="16" s="1"/>
  <c r="CQ45" i="16" s="1"/>
  <c r="CU45" i="16" s="1"/>
  <c r="R46" i="16"/>
  <c r="CM46" i="16" s="1"/>
  <c r="CQ46" i="16" s="1"/>
  <c r="CU46" i="16" s="1"/>
  <c r="R47" i="16"/>
  <c r="CM47" i="16" s="1"/>
  <c r="CQ47" i="16" s="1"/>
  <c r="CU47" i="16" s="1"/>
  <c r="R48" i="16"/>
  <c r="CM48" i="16" s="1"/>
  <c r="CQ48" i="16" s="1"/>
  <c r="CU48" i="16" s="1"/>
  <c r="R49" i="16"/>
  <c r="CM49" i="16" s="1"/>
  <c r="CQ49" i="16" s="1"/>
  <c r="CU49" i="16" s="1"/>
  <c r="R50" i="16"/>
  <c r="CM50" i="16" s="1"/>
  <c r="CQ50" i="16" s="1"/>
  <c r="CU50" i="16" s="1"/>
  <c r="R51" i="16"/>
  <c r="CM51" i="16" s="1"/>
  <c r="CQ51" i="16" s="1"/>
  <c r="CU51" i="16" s="1"/>
  <c r="R52" i="16"/>
  <c r="CM52" i="16" s="1"/>
  <c r="CQ52" i="16" s="1"/>
  <c r="CU52" i="16" s="1"/>
  <c r="R53" i="16"/>
  <c r="CM53" i="16" s="1"/>
  <c r="CQ53" i="16" s="1"/>
  <c r="CU53" i="16" s="1"/>
  <c r="R54" i="16"/>
  <c r="CM54" i="16" s="1"/>
  <c r="CQ54" i="16" s="1"/>
  <c r="CU54" i="16" s="1"/>
  <c r="R55" i="16"/>
  <c r="CM55" i="16" s="1"/>
  <c r="CQ55" i="16" s="1"/>
  <c r="CU55" i="16" s="1"/>
  <c r="R56" i="16"/>
  <c r="CM56" i="16" s="1"/>
  <c r="CQ56" i="16" s="1"/>
  <c r="CU56" i="16" s="1"/>
  <c r="R57" i="16"/>
  <c r="CM57" i="16" s="1"/>
  <c r="CQ57" i="16" s="1"/>
  <c r="CU57" i="16" s="1"/>
  <c r="R58" i="16"/>
  <c r="CM58" i="16" s="1"/>
  <c r="CQ58" i="16" s="1"/>
  <c r="CU58" i="16" s="1"/>
  <c r="R59" i="16"/>
  <c r="CM59" i="16" s="1"/>
  <c r="CQ59" i="16" s="1"/>
  <c r="CU59" i="16" s="1"/>
  <c r="R60" i="16"/>
  <c r="CM60" i="16" s="1"/>
  <c r="CQ60" i="16" s="1"/>
  <c r="CU60" i="16" s="1"/>
  <c r="R61" i="16"/>
  <c r="CM61" i="16" s="1"/>
  <c r="CQ61" i="16" s="1"/>
  <c r="CU61" i="16" s="1"/>
  <c r="R62" i="16"/>
  <c r="CM62" i="16" s="1"/>
  <c r="CQ62" i="16" s="1"/>
  <c r="CU62" i="16" s="1"/>
  <c r="R63" i="16"/>
  <c r="CM63" i="16" s="1"/>
  <c r="CQ63" i="16" s="1"/>
  <c r="CU63" i="16" s="1"/>
  <c r="R64" i="16"/>
  <c r="CM64" i="16" s="1"/>
  <c r="CQ64" i="16" s="1"/>
  <c r="CU64" i="16" s="1"/>
  <c r="R65" i="16"/>
  <c r="CM65" i="16" s="1"/>
  <c r="CQ65" i="16" s="1"/>
  <c r="CU65" i="16" s="1"/>
  <c r="R66" i="16"/>
  <c r="CM66" i="16" s="1"/>
  <c r="CQ66" i="16" s="1"/>
  <c r="CU66" i="16" s="1"/>
  <c r="R67" i="16"/>
  <c r="CM67" i="16" s="1"/>
  <c r="CQ67" i="16" s="1"/>
  <c r="CU67" i="16" s="1"/>
  <c r="R68" i="16"/>
  <c r="CM68" i="16" s="1"/>
  <c r="CQ68" i="16" s="1"/>
  <c r="CU68" i="16" s="1"/>
  <c r="R69" i="16"/>
  <c r="CM69" i="16" s="1"/>
  <c r="CQ69" i="16" s="1"/>
  <c r="CU69" i="16" s="1"/>
  <c r="R70" i="16"/>
  <c r="CM70" i="16" s="1"/>
  <c r="CQ70" i="16" s="1"/>
  <c r="CU70" i="16" s="1"/>
  <c r="R71" i="16"/>
  <c r="CM71" i="16" s="1"/>
  <c r="CQ71" i="16" s="1"/>
  <c r="CU71" i="16" s="1"/>
  <c r="R72" i="16"/>
  <c r="CM72" i="16" s="1"/>
  <c r="CQ72" i="16" s="1"/>
  <c r="CU72" i="16" s="1"/>
  <c r="R73" i="16"/>
  <c r="CM73" i="16" s="1"/>
  <c r="CQ73" i="16" s="1"/>
  <c r="CU73" i="16" s="1"/>
  <c r="R74" i="16"/>
  <c r="CM74" i="16" s="1"/>
  <c r="CQ74" i="16" s="1"/>
  <c r="CU74" i="16" s="1"/>
  <c r="R75" i="16"/>
  <c r="CM75" i="16" s="1"/>
  <c r="CQ75" i="16" s="1"/>
  <c r="CU75" i="16" s="1"/>
  <c r="R76" i="16"/>
  <c r="CM76" i="16" s="1"/>
  <c r="CQ76" i="16" s="1"/>
  <c r="CU76" i="16" s="1"/>
  <c r="R77" i="16"/>
  <c r="CM77" i="16" s="1"/>
  <c r="CQ77" i="16" s="1"/>
  <c r="CU77" i="16" s="1"/>
  <c r="R78" i="16"/>
  <c r="CM78" i="16" s="1"/>
  <c r="CQ78" i="16" s="1"/>
  <c r="CU78" i="16" s="1"/>
  <c r="R79" i="16"/>
  <c r="CM79" i="16" s="1"/>
  <c r="CQ79" i="16" s="1"/>
  <c r="CU79" i="16" s="1"/>
  <c r="R80" i="16"/>
  <c r="CM80" i="16" s="1"/>
  <c r="CQ80" i="16" s="1"/>
  <c r="CU80" i="16" s="1"/>
  <c r="R81" i="16"/>
  <c r="CM81" i="16" s="1"/>
  <c r="CQ81" i="16" s="1"/>
  <c r="CU81" i="16" s="1"/>
  <c r="R82" i="16"/>
  <c r="R83" i="16"/>
  <c r="CM83" i="16" s="1"/>
  <c r="CQ83" i="16" s="1"/>
  <c r="CU83" i="16" s="1"/>
  <c r="R84" i="16"/>
  <c r="CM84" i="16" s="1"/>
  <c r="CQ84" i="16" s="1"/>
  <c r="CU84" i="16" s="1"/>
  <c r="R85" i="16"/>
  <c r="CM85" i="16" s="1"/>
  <c r="CQ85" i="16" s="1"/>
  <c r="CU85" i="16" s="1"/>
  <c r="R86" i="16"/>
  <c r="CM86" i="16" s="1"/>
  <c r="CQ86" i="16" s="1"/>
  <c r="CU86" i="16" s="1"/>
  <c r="R87" i="16"/>
  <c r="R88" i="16"/>
  <c r="CM88" i="16" s="1"/>
  <c r="CQ88" i="16" s="1"/>
  <c r="CU88" i="16" s="1"/>
  <c r="R89" i="16"/>
  <c r="CM89" i="16" s="1"/>
  <c r="CQ89" i="16" s="1"/>
  <c r="CU89" i="16" s="1"/>
  <c r="R90" i="16"/>
  <c r="CM90" i="16" s="1"/>
  <c r="CQ90" i="16" s="1"/>
  <c r="CU90" i="16" s="1"/>
  <c r="R91" i="16"/>
  <c r="CM91" i="16" s="1"/>
  <c r="CQ91" i="16" s="1"/>
  <c r="CU91" i="16" s="1"/>
  <c r="R92" i="16"/>
  <c r="CM92" i="16" s="1"/>
  <c r="CQ92" i="16" s="1"/>
  <c r="CU92" i="16" s="1"/>
  <c r="R93" i="16"/>
  <c r="CM93" i="16" s="1"/>
  <c r="CQ93" i="16" s="1"/>
  <c r="CU93" i="16" s="1"/>
  <c r="R94" i="16"/>
  <c r="CM94" i="16" s="1"/>
  <c r="CQ94" i="16" s="1"/>
  <c r="CU94" i="16" s="1"/>
  <c r="R95" i="16"/>
  <c r="CM95" i="16" s="1"/>
  <c r="CQ95" i="16" s="1"/>
  <c r="CU95" i="16" s="1"/>
  <c r="R96" i="16"/>
  <c r="CM96" i="16" s="1"/>
  <c r="CQ96" i="16" s="1"/>
  <c r="CU96" i="16" s="1"/>
  <c r="R97" i="16"/>
  <c r="CM97" i="16" s="1"/>
  <c r="CQ97" i="16" s="1"/>
  <c r="CU97" i="16" s="1"/>
  <c r="R98" i="16"/>
  <c r="CM98" i="16" s="1"/>
  <c r="CQ98" i="16" s="1"/>
  <c r="CU98" i="16" s="1"/>
  <c r="R99" i="16"/>
  <c r="CM99" i="16" s="1"/>
  <c r="CQ99" i="16" s="1"/>
  <c r="CU99" i="16" s="1"/>
  <c r="R100" i="16"/>
  <c r="CM100" i="16" s="1"/>
  <c r="CQ100" i="16" s="1"/>
  <c r="CU100" i="16" s="1"/>
  <c r="R101" i="16"/>
  <c r="CM101" i="16" s="1"/>
  <c r="CQ101" i="16" s="1"/>
  <c r="CU101" i="16" s="1"/>
  <c r="R102" i="16"/>
  <c r="CM102" i="16" s="1"/>
  <c r="CQ102" i="16" s="1"/>
  <c r="CU102" i="16" s="1"/>
  <c r="R103" i="16"/>
  <c r="CM103" i="16" s="1"/>
  <c r="CQ103" i="16" s="1"/>
  <c r="CU103" i="16" s="1"/>
  <c r="R104" i="16"/>
  <c r="CM104" i="16" s="1"/>
  <c r="CQ104" i="16" s="1"/>
  <c r="CU104" i="16" s="1"/>
  <c r="R105" i="16"/>
  <c r="CM105" i="16" s="1"/>
  <c r="CQ105" i="16" s="1"/>
  <c r="CU105" i="16" s="1"/>
  <c r="R106" i="16"/>
  <c r="R107" i="16"/>
  <c r="CM107" i="16" s="1"/>
  <c r="CQ107" i="16" s="1"/>
  <c r="CU107" i="16" s="1"/>
  <c r="R108" i="16"/>
  <c r="CM108" i="16" s="1"/>
  <c r="CQ108" i="16" s="1"/>
  <c r="CU108" i="16" s="1"/>
  <c r="R109" i="16"/>
  <c r="CM109" i="16" s="1"/>
  <c r="CQ109" i="16" s="1"/>
  <c r="CU109" i="16" s="1"/>
  <c r="R110" i="16"/>
  <c r="CM110" i="16" s="1"/>
  <c r="CQ110" i="16" s="1"/>
  <c r="CU110" i="16" s="1"/>
  <c r="R111" i="16"/>
  <c r="CM111" i="16" s="1"/>
  <c r="CQ111" i="16" s="1"/>
  <c r="CU111" i="16" s="1"/>
  <c r="R112" i="16"/>
  <c r="CM112" i="16" s="1"/>
  <c r="CQ112" i="16" s="1"/>
  <c r="CU112" i="16" s="1"/>
  <c r="R113" i="16"/>
  <c r="CM113" i="16" s="1"/>
  <c r="CQ113" i="16" s="1"/>
  <c r="CU113" i="16" s="1"/>
  <c r="R114" i="16"/>
  <c r="CM114" i="16" s="1"/>
  <c r="CQ114" i="16" s="1"/>
  <c r="CU114" i="16" s="1"/>
  <c r="R115" i="16"/>
  <c r="CM115" i="16" s="1"/>
  <c r="CQ115" i="16" s="1"/>
  <c r="CU115" i="16" s="1"/>
  <c r="R6" i="16"/>
  <c r="CM6" i="16" s="1"/>
  <c r="CQ6" i="16" s="1"/>
  <c r="CU6" i="16" s="1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CL51" i="16" s="1"/>
  <c r="CP51" i="16" s="1"/>
  <c r="CT51" i="16" s="1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CL82" i="16" s="1"/>
  <c r="CP82" i="16" s="1"/>
  <c r="CT82" i="16" s="1"/>
  <c r="P83" i="16"/>
  <c r="P84" i="16"/>
  <c r="P85" i="16"/>
  <c r="P86" i="16"/>
  <c r="CL86" i="16" s="1"/>
  <c r="CP86" i="16" s="1"/>
  <c r="CT86" i="16" s="1"/>
  <c r="P87" i="16"/>
  <c r="CL87" i="16" s="1"/>
  <c r="CP87" i="16" s="1"/>
  <c r="CT87" i="16" s="1"/>
  <c r="P88" i="16"/>
  <c r="P89" i="16"/>
  <c r="P90" i="16"/>
  <c r="P91" i="16"/>
  <c r="P92" i="16"/>
  <c r="P93" i="16"/>
  <c r="P94" i="16"/>
  <c r="CL94" i="16" s="1"/>
  <c r="CP94" i="16" s="1"/>
  <c r="CT94" i="16" s="1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CL106" i="16" s="1"/>
  <c r="CP106" i="16" s="1"/>
  <c r="CT106" i="16" s="1"/>
  <c r="P107" i="16"/>
  <c r="CL107" i="16" s="1"/>
  <c r="CP107" i="16" s="1"/>
  <c r="CT107" i="16" s="1"/>
  <c r="P108" i="16"/>
  <c r="P109" i="16"/>
  <c r="P110" i="16"/>
  <c r="P111" i="16"/>
  <c r="P112" i="16"/>
  <c r="P113" i="16"/>
  <c r="P114" i="16"/>
  <c r="P115" i="16"/>
  <c r="P6" i="16"/>
  <c r="D9" i="16"/>
  <c r="CU116" i="16" l="1"/>
  <c r="E34" i="16" s="1"/>
  <c r="CQ116" i="16"/>
  <c r="E33" i="16" s="1"/>
  <c r="E35" i="16" s="1"/>
  <c r="CG7" i="16"/>
  <c r="CG8" i="16"/>
  <c r="CG9" i="16"/>
  <c r="CG10" i="16"/>
  <c r="CG11" i="16"/>
  <c r="CG12" i="16"/>
  <c r="CG13" i="16"/>
  <c r="CG14" i="16"/>
  <c r="CG15" i="16"/>
  <c r="CG16" i="16"/>
  <c r="CG17" i="16"/>
  <c r="CG18" i="16"/>
  <c r="CG19" i="16"/>
  <c r="CG20" i="16"/>
  <c r="CG21" i="16"/>
  <c r="CG22" i="16"/>
  <c r="CG23" i="16"/>
  <c r="CG24" i="16"/>
  <c r="CG25" i="16"/>
  <c r="CG26" i="16"/>
  <c r="CG27" i="16"/>
  <c r="CG28" i="16"/>
  <c r="CG29" i="16"/>
  <c r="CG30" i="16"/>
  <c r="CG31" i="16"/>
  <c r="CG32" i="16"/>
  <c r="CG33" i="16"/>
  <c r="CG34" i="16"/>
  <c r="CG35" i="16"/>
  <c r="CG36" i="16"/>
  <c r="CG37" i="16"/>
  <c r="CG38" i="16"/>
  <c r="CG39" i="16"/>
  <c r="CG40" i="16"/>
  <c r="CG41" i="16"/>
  <c r="CG42" i="16"/>
  <c r="CG43" i="16"/>
  <c r="CG44" i="16"/>
  <c r="CG45" i="16"/>
  <c r="CG46" i="16"/>
  <c r="CG47" i="16"/>
  <c r="CG48" i="16"/>
  <c r="CF50" i="16"/>
  <c r="CF51" i="16"/>
  <c r="CG52" i="16"/>
  <c r="CG53" i="16"/>
  <c r="CG54" i="16"/>
  <c r="CG55" i="16"/>
  <c r="CG56" i="16"/>
  <c r="CG57" i="16"/>
  <c r="CG58" i="16"/>
  <c r="CG59" i="16"/>
  <c r="CG60" i="16"/>
  <c r="CG61" i="16"/>
  <c r="CG62" i="16"/>
  <c r="CG63" i="16"/>
  <c r="CG64" i="16"/>
  <c r="CG65" i="16"/>
  <c r="CG66" i="16"/>
  <c r="CG67" i="16"/>
  <c r="CG68" i="16"/>
  <c r="CG69" i="16"/>
  <c r="CG70" i="16"/>
  <c r="CG71" i="16"/>
  <c r="CG72" i="16"/>
  <c r="CG73" i="16"/>
  <c r="CG74" i="16"/>
  <c r="CG75" i="16"/>
  <c r="CG76" i="16"/>
  <c r="CG77" i="16"/>
  <c r="CG78" i="16"/>
  <c r="CG79" i="16"/>
  <c r="CG80" i="16"/>
  <c r="CG81" i="16"/>
  <c r="CG82" i="16"/>
  <c r="CG83" i="16"/>
  <c r="CG84" i="16"/>
  <c r="CG85" i="16"/>
  <c r="CF87" i="16"/>
  <c r="CF88" i="16"/>
  <c r="CF89" i="16"/>
  <c r="CF90" i="16"/>
  <c r="CF91" i="16"/>
  <c r="CF92" i="16"/>
  <c r="CF93" i="16"/>
  <c r="CF94" i="16"/>
  <c r="CG95" i="16"/>
  <c r="CG96" i="16"/>
  <c r="CG97" i="16"/>
  <c r="CG98" i="16"/>
  <c r="CG99" i="16"/>
  <c r="CG100" i="16"/>
  <c r="CG101" i="16"/>
  <c r="CG103" i="16"/>
  <c r="CF105" i="16"/>
  <c r="CG106" i="16"/>
  <c r="CG108" i="16"/>
  <c r="CF110" i="16"/>
  <c r="CF112" i="16"/>
  <c r="CF114" i="16"/>
  <c r="CF108" i="16"/>
  <c r="DA115" i="16"/>
  <c r="DC115" i="16" s="1"/>
  <c r="DA113" i="16"/>
  <c r="DC113" i="16" s="1"/>
  <c r="CL113" i="16"/>
  <c r="CP113" i="16" s="1"/>
  <c r="CT113" i="16" s="1"/>
  <c r="DA111" i="16"/>
  <c r="DC111" i="16" s="1"/>
  <c r="DA109" i="16"/>
  <c r="DC109" i="16" s="1"/>
  <c r="CL109" i="16"/>
  <c r="CP109" i="16" s="1"/>
  <c r="CT109" i="16" s="1"/>
  <c r="DA105" i="16"/>
  <c r="DC105" i="16" s="1"/>
  <c r="CL105" i="16"/>
  <c r="CP105" i="16" s="1"/>
  <c r="CT105" i="16" s="1"/>
  <c r="DA103" i="16"/>
  <c r="DC103" i="16" s="1"/>
  <c r="DA101" i="16"/>
  <c r="DC101" i="16" s="1"/>
  <c r="DA99" i="16"/>
  <c r="DC99" i="16" s="1"/>
  <c r="CL99" i="16"/>
  <c r="CP99" i="16" s="1"/>
  <c r="CT99" i="16" s="1"/>
  <c r="DA97" i="16"/>
  <c r="DC97" i="16" s="1"/>
  <c r="DA95" i="16"/>
  <c r="DC95" i="16" s="1"/>
  <c r="DA93" i="16"/>
  <c r="DC93" i="16" s="1"/>
  <c r="DA91" i="16"/>
  <c r="DC91" i="16" s="1"/>
  <c r="DA89" i="16"/>
  <c r="DC89" i="16" s="1"/>
  <c r="CL89" i="16"/>
  <c r="CP89" i="16" s="1"/>
  <c r="CT89" i="16" s="1"/>
  <c r="DA85" i="16"/>
  <c r="DC85" i="16" s="1"/>
  <c r="DA83" i="16"/>
  <c r="DC83" i="16" s="1"/>
  <c r="DA81" i="16"/>
  <c r="DC81" i="16" s="1"/>
  <c r="CL81" i="16"/>
  <c r="CP81" i="16" s="1"/>
  <c r="CT81" i="16" s="1"/>
  <c r="DA79" i="16"/>
  <c r="DC79" i="16" s="1"/>
  <c r="CL79" i="16"/>
  <c r="CP79" i="16" s="1"/>
  <c r="CT79" i="16" s="1"/>
  <c r="DA77" i="16"/>
  <c r="DC77" i="16" s="1"/>
  <c r="CL77" i="16"/>
  <c r="CP77" i="16" s="1"/>
  <c r="CT77" i="16" s="1"/>
  <c r="DA75" i="16"/>
  <c r="DC75" i="16" s="1"/>
  <c r="CL75" i="16"/>
  <c r="CP75" i="16" s="1"/>
  <c r="CT75" i="16" s="1"/>
  <c r="DA73" i="16"/>
  <c r="DC73" i="16" s="1"/>
  <c r="CL73" i="16"/>
  <c r="CP73" i="16" s="1"/>
  <c r="CT73" i="16" s="1"/>
  <c r="DA71" i="16"/>
  <c r="DC71" i="16" s="1"/>
  <c r="CL71" i="16"/>
  <c r="CP71" i="16" s="1"/>
  <c r="CT71" i="16" s="1"/>
  <c r="DA69" i="16"/>
  <c r="DC69" i="16" s="1"/>
  <c r="CL69" i="16"/>
  <c r="CP69" i="16" s="1"/>
  <c r="CT69" i="16" s="1"/>
  <c r="DA67" i="16"/>
  <c r="DC67" i="16" s="1"/>
  <c r="CL67" i="16"/>
  <c r="CP67" i="16" s="1"/>
  <c r="CT67" i="16" s="1"/>
  <c r="DA65" i="16"/>
  <c r="DC65" i="16" s="1"/>
  <c r="CL65" i="16"/>
  <c r="CP65" i="16" s="1"/>
  <c r="CT65" i="16" s="1"/>
  <c r="DA63" i="16"/>
  <c r="DC63" i="16" s="1"/>
  <c r="CL63" i="16"/>
  <c r="CP63" i="16" s="1"/>
  <c r="CT63" i="16" s="1"/>
  <c r="DA61" i="16"/>
  <c r="DC61" i="16" s="1"/>
  <c r="CL61" i="16"/>
  <c r="CP61" i="16" s="1"/>
  <c r="CT61" i="16" s="1"/>
  <c r="DA59" i="16"/>
  <c r="DC59" i="16" s="1"/>
  <c r="CL59" i="16"/>
  <c r="CP59" i="16" s="1"/>
  <c r="CT59" i="16" s="1"/>
  <c r="DA57" i="16"/>
  <c r="DC57" i="16" s="1"/>
  <c r="CL57" i="16"/>
  <c r="CP57" i="16" s="1"/>
  <c r="CT57" i="16" s="1"/>
  <c r="DA55" i="16"/>
  <c r="DC55" i="16" s="1"/>
  <c r="CL55" i="16"/>
  <c r="CP55" i="16" s="1"/>
  <c r="CT55" i="16" s="1"/>
  <c r="DA53" i="16"/>
  <c r="DC53" i="16" s="1"/>
  <c r="CL53" i="16"/>
  <c r="CP53" i="16" s="1"/>
  <c r="CT53" i="16" s="1"/>
  <c r="DA49" i="16"/>
  <c r="DC49" i="16" s="1"/>
  <c r="CL49" i="16"/>
  <c r="CP49" i="16" s="1"/>
  <c r="CT49" i="16" s="1"/>
  <c r="DA47" i="16"/>
  <c r="DC47" i="16" s="1"/>
  <c r="CL47" i="16"/>
  <c r="CP47" i="16" s="1"/>
  <c r="CT47" i="16" s="1"/>
  <c r="DA45" i="16"/>
  <c r="DC45" i="16" s="1"/>
  <c r="CL45" i="16"/>
  <c r="CP45" i="16" s="1"/>
  <c r="CT45" i="16" s="1"/>
  <c r="DA43" i="16"/>
  <c r="DC43" i="16" s="1"/>
  <c r="CL43" i="16"/>
  <c r="CP43" i="16" s="1"/>
  <c r="CT43" i="16" s="1"/>
  <c r="DA41" i="16"/>
  <c r="DC41" i="16" s="1"/>
  <c r="CL41" i="16"/>
  <c r="CP41" i="16" s="1"/>
  <c r="CT41" i="16" s="1"/>
  <c r="DA39" i="16"/>
  <c r="DC39" i="16" s="1"/>
  <c r="DA37" i="16"/>
  <c r="DC37" i="16" s="1"/>
  <c r="CL37" i="16"/>
  <c r="CP37" i="16" s="1"/>
  <c r="CT37" i="16" s="1"/>
  <c r="DA35" i="16"/>
  <c r="DC35" i="16" s="1"/>
  <c r="CL35" i="16"/>
  <c r="CP35" i="16" s="1"/>
  <c r="CT35" i="16" s="1"/>
  <c r="DA31" i="16"/>
  <c r="DC31" i="16" s="1"/>
  <c r="DA29" i="16"/>
  <c r="DC29" i="16" s="1"/>
  <c r="CL29" i="16"/>
  <c r="CP29" i="16" s="1"/>
  <c r="CT29" i="16" s="1"/>
  <c r="DA27" i="16"/>
  <c r="DC27" i="16" s="1"/>
  <c r="CL27" i="16"/>
  <c r="CP27" i="16" s="1"/>
  <c r="CT27" i="16" s="1"/>
  <c r="DA25" i="16"/>
  <c r="DC25" i="16" s="1"/>
  <c r="DA23" i="16"/>
  <c r="DC23" i="16" s="1"/>
  <c r="DA21" i="16"/>
  <c r="DC21" i="16" s="1"/>
  <c r="CL21" i="16"/>
  <c r="CP21" i="16" s="1"/>
  <c r="CT21" i="16" s="1"/>
  <c r="DA19" i="16"/>
  <c r="DC19" i="16" s="1"/>
  <c r="CL19" i="16"/>
  <c r="CP19" i="16" s="1"/>
  <c r="CT19" i="16" s="1"/>
  <c r="DA17" i="16"/>
  <c r="DC17" i="16" s="1"/>
  <c r="CL17" i="16"/>
  <c r="CP17" i="16" s="1"/>
  <c r="CT17" i="16" s="1"/>
  <c r="DA15" i="16"/>
  <c r="DC15" i="16" s="1"/>
  <c r="CL15" i="16"/>
  <c r="CP15" i="16" s="1"/>
  <c r="CT15" i="16" s="1"/>
  <c r="DA13" i="16"/>
  <c r="DC13" i="16" s="1"/>
  <c r="CL13" i="16"/>
  <c r="CP13" i="16" s="1"/>
  <c r="CT13" i="16" s="1"/>
  <c r="DA11" i="16"/>
  <c r="DC11" i="16" s="1"/>
  <c r="CL11" i="16"/>
  <c r="CP11" i="16" s="1"/>
  <c r="CT11" i="16" s="1"/>
  <c r="DA9" i="16"/>
  <c r="DC9" i="16" s="1"/>
  <c r="DA7" i="16"/>
  <c r="DC7" i="16" s="1"/>
  <c r="CL7" i="16"/>
  <c r="CP7" i="16" s="1"/>
  <c r="CT7" i="16" s="1"/>
  <c r="DA33" i="16"/>
  <c r="DC33" i="16" s="1"/>
  <c r="DA6" i="16"/>
  <c r="DC6" i="16" s="1"/>
  <c r="DA114" i="16"/>
  <c r="DC114" i="16" s="1"/>
  <c r="CL114" i="16"/>
  <c r="CP114" i="16" s="1"/>
  <c r="CT114" i="16" s="1"/>
  <c r="DA112" i="16"/>
  <c r="DC112" i="16" s="1"/>
  <c r="CL112" i="16"/>
  <c r="CP112" i="16" s="1"/>
  <c r="CT112" i="16" s="1"/>
  <c r="DA110" i="16"/>
  <c r="DC110" i="16" s="1"/>
  <c r="CL110" i="16"/>
  <c r="CP110" i="16" s="1"/>
  <c r="CT110" i="16" s="1"/>
  <c r="DA108" i="16"/>
  <c r="DC108" i="16" s="1"/>
  <c r="CL108" i="16"/>
  <c r="CP108" i="16" s="1"/>
  <c r="CT108" i="16" s="1"/>
  <c r="DA104" i="16"/>
  <c r="DC104" i="16" s="1"/>
  <c r="CL104" i="16"/>
  <c r="CP104" i="16" s="1"/>
  <c r="CT104" i="16" s="1"/>
  <c r="DA102" i="16"/>
  <c r="DC102" i="16" s="1"/>
  <c r="DA100" i="16"/>
  <c r="DC100" i="16" s="1"/>
  <c r="DA98" i="16"/>
  <c r="DC98" i="16" s="1"/>
  <c r="DA96" i="16"/>
  <c r="DC96" i="16" s="1"/>
  <c r="CL96" i="16"/>
  <c r="CP96" i="16" s="1"/>
  <c r="CT96" i="16" s="1"/>
  <c r="DA92" i="16"/>
  <c r="DC92" i="16" s="1"/>
  <c r="DA90" i="16"/>
  <c r="DC90" i="16" s="1"/>
  <c r="CL90" i="16"/>
  <c r="CP90" i="16" s="1"/>
  <c r="CT90" i="16" s="1"/>
  <c r="DA88" i="16"/>
  <c r="DC88" i="16" s="1"/>
  <c r="DA84" i="16"/>
  <c r="DC84" i="16" s="1"/>
  <c r="DA80" i="16"/>
  <c r="DC80" i="16" s="1"/>
  <c r="CL80" i="16"/>
  <c r="CP80" i="16" s="1"/>
  <c r="CT80" i="16" s="1"/>
  <c r="DA78" i="16"/>
  <c r="DC78" i="16" s="1"/>
  <c r="DA76" i="16"/>
  <c r="DC76" i="16" s="1"/>
  <c r="DA74" i="16"/>
  <c r="DC74" i="16" s="1"/>
  <c r="CL74" i="16"/>
  <c r="CP74" i="16" s="1"/>
  <c r="CT74" i="16" s="1"/>
  <c r="DA72" i="16"/>
  <c r="DC72" i="16" s="1"/>
  <c r="CL72" i="16"/>
  <c r="CP72" i="16" s="1"/>
  <c r="CT72" i="16" s="1"/>
  <c r="DA70" i="16"/>
  <c r="DC70" i="16" s="1"/>
  <c r="CL70" i="16"/>
  <c r="CP70" i="16" s="1"/>
  <c r="CT70" i="16" s="1"/>
  <c r="DA68" i="16"/>
  <c r="DC68" i="16" s="1"/>
  <c r="CL68" i="16"/>
  <c r="CP68" i="16" s="1"/>
  <c r="CT68" i="16" s="1"/>
  <c r="DA66" i="16"/>
  <c r="DC66" i="16" s="1"/>
  <c r="CL66" i="16"/>
  <c r="CP66" i="16" s="1"/>
  <c r="CT66" i="16" s="1"/>
  <c r="DA64" i="16"/>
  <c r="DC64" i="16" s="1"/>
  <c r="CL64" i="16"/>
  <c r="CP64" i="16" s="1"/>
  <c r="CT64" i="16" s="1"/>
  <c r="DA62" i="16"/>
  <c r="DC62" i="16" s="1"/>
  <c r="CL62" i="16"/>
  <c r="CP62" i="16" s="1"/>
  <c r="CT62" i="16" s="1"/>
  <c r="DA60" i="16"/>
  <c r="DC60" i="16" s="1"/>
  <c r="CL60" i="16"/>
  <c r="CP60" i="16" s="1"/>
  <c r="CT60" i="16" s="1"/>
  <c r="DA58" i="16"/>
  <c r="DC58" i="16" s="1"/>
  <c r="CL58" i="16"/>
  <c r="CP58" i="16" s="1"/>
  <c r="CT58" i="16" s="1"/>
  <c r="DA56" i="16"/>
  <c r="DC56" i="16" s="1"/>
  <c r="CL56" i="16"/>
  <c r="CP56" i="16" s="1"/>
  <c r="CT56" i="16" s="1"/>
  <c r="DA54" i="16"/>
  <c r="DC54" i="16" s="1"/>
  <c r="CL54" i="16"/>
  <c r="CP54" i="16" s="1"/>
  <c r="CT54" i="16" s="1"/>
  <c r="DA52" i="16"/>
  <c r="DC52" i="16" s="1"/>
  <c r="CL52" i="16"/>
  <c r="CP52" i="16" s="1"/>
  <c r="CT52" i="16" s="1"/>
  <c r="DA50" i="16"/>
  <c r="DC50" i="16" s="1"/>
  <c r="CL50" i="16"/>
  <c r="CP50" i="16" s="1"/>
  <c r="CT50" i="16" s="1"/>
  <c r="DA48" i="16"/>
  <c r="DC48" i="16" s="1"/>
  <c r="CL48" i="16"/>
  <c r="CP48" i="16" s="1"/>
  <c r="CT48" i="16" s="1"/>
  <c r="DA46" i="16"/>
  <c r="DC46" i="16" s="1"/>
  <c r="CL46" i="16"/>
  <c r="CP46" i="16" s="1"/>
  <c r="CT46" i="16" s="1"/>
  <c r="DA44" i="16"/>
  <c r="DC44" i="16" s="1"/>
  <c r="CL44" i="16"/>
  <c r="CP44" i="16" s="1"/>
  <c r="CT44" i="16" s="1"/>
  <c r="DA42" i="16"/>
  <c r="DC42" i="16" s="1"/>
  <c r="CL42" i="16"/>
  <c r="CP42" i="16" s="1"/>
  <c r="CT42" i="16" s="1"/>
  <c r="DA40" i="16"/>
  <c r="DC40" i="16" s="1"/>
  <c r="CL40" i="16"/>
  <c r="CP40" i="16" s="1"/>
  <c r="CT40" i="16" s="1"/>
  <c r="DA38" i="16"/>
  <c r="DC38" i="16" s="1"/>
  <c r="CL38" i="16"/>
  <c r="CP38" i="16" s="1"/>
  <c r="CT38" i="16" s="1"/>
  <c r="DA36" i="16"/>
  <c r="DC36" i="16" s="1"/>
  <c r="CL36" i="16"/>
  <c r="CP36" i="16" s="1"/>
  <c r="CT36" i="16" s="1"/>
  <c r="DA34" i="16"/>
  <c r="DC34" i="16" s="1"/>
  <c r="CL34" i="16"/>
  <c r="CP34" i="16" s="1"/>
  <c r="CT34" i="16" s="1"/>
  <c r="DA32" i="16"/>
  <c r="DC32" i="16" s="1"/>
  <c r="CL32" i="16"/>
  <c r="CP32" i="16" s="1"/>
  <c r="CT32" i="16" s="1"/>
  <c r="DA30" i="16"/>
  <c r="DC30" i="16" s="1"/>
  <c r="CL30" i="16"/>
  <c r="CP30" i="16" s="1"/>
  <c r="CT30" i="16" s="1"/>
  <c r="DA28" i="16"/>
  <c r="DC28" i="16" s="1"/>
  <c r="DA26" i="16"/>
  <c r="DC26" i="16" s="1"/>
  <c r="DA24" i="16"/>
  <c r="DC24" i="16" s="1"/>
  <c r="CL24" i="16"/>
  <c r="CP24" i="16" s="1"/>
  <c r="CT24" i="16" s="1"/>
  <c r="DA22" i="16"/>
  <c r="DC22" i="16" s="1"/>
  <c r="DA20" i="16"/>
  <c r="DC20" i="16" s="1"/>
  <c r="CL20" i="16"/>
  <c r="CP20" i="16" s="1"/>
  <c r="CT20" i="16" s="1"/>
  <c r="DA18" i="16"/>
  <c r="DC18" i="16" s="1"/>
  <c r="CL18" i="16"/>
  <c r="CP18" i="16" s="1"/>
  <c r="CT18" i="16" s="1"/>
  <c r="DA16" i="16"/>
  <c r="DC16" i="16" s="1"/>
  <c r="CL16" i="16"/>
  <c r="CP16" i="16" s="1"/>
  <c r="CT16" i="16" s="1"/>
  <c r="DA14" i="16"/>
  <c r="DC14" i="16" s="1"/>
  <c r="CL14" i="16"/>
  <c r="CP14" i="16" s="1"/>
  <c r="CT14" i="16" s="1"/>
  <c r="DA12" i="16"/>
  <c r="DC12" i="16" s="1"/>
  <c r="CL12" i="16"/>
  <c r="CP12" i="16" s="1"/>
  <c r="CT12" i="16" s="1"/>
  <c r="DA10" i="16"/>
  <c r="DC10" i="16" s="1"/>
  <c r="DA8" i="16"/>
  <c r="DC8" i="16" s="1"/>
  <c r="CG109" i="16"/>
  <c r="CG6" i="16"/>
  <c r="CF49" i="16"/>
  <c r="CG111" i="16"/>
  <c r="P116" i="16"/>
  <c r="J9" i="16" s="1"/>
  <c r="CF7" i="16"/>
  <c r="CF9" i="16"/>
  <c r="CF11" i="16"/>
  <c r="CF13" i="16"/>
  <c r="CF15" i="16"/>
  <c r="CF27" i="16"/>
  <c r="CF29" i="16"/>
  <c r="CF31" i="16"/>
  <c r="CF37" i="16"/>
  <c r="CF39" i="16"/>
  <c r="CF41" i="16"/>
  <c r="CF43" i="16"/>
  <c r="CF45" i="16"/>
  <c r="CF47" i="16"/>
  <c r="CG50" i="16"/>
  <c r="CF52" i="16"/>
  <c r="CF54" i="16"/>
  <c r="CF56" i="16"/>
  <c r="CF58" i="16"/>
  <c r="CF60" i="16"/>
  <c r="CF62" i="16"/>
  <c r="CF64" i="16"/>
  <c r="CF66" i="16"/>
  <c r="CF68" i="16"/>
  <c r="CF70" i="16"/>
  <c r="CF72" i="16"/>
  <c r="CF74" i="16"/>
  <c r="CF76" i="16"/>
  <c r="CF78" i="16"/>
  <c r="CF80" i="16"/>
  <c r="CF84" i="16"/>
  <c r="CF86" i="16"/>
  <c r="CG87" i="16"/>
  <c r="CG89" i="16"/>
  <c r="CG91" i="16"/>
  <c r="CG93" i="16"/>
  <c r="CF95" i="16"/>
  <c r="CF101" i="16"/>
  <c r="CF106" i="16"/>
  <c r="CG113" i="16"/>
  <c r="CF17" i="16"/>
  <c r="CF19" i="16"/>
  <c r="CF21" i="16"/>
  <c r="CF23" i="16"/>
  <c r="CF25" i="16"/>
  <c r="CF33" i="16"/>
  <c r="CF35" i="16"/>
  <c r="CF82" i="16"/>
  <c r="CF97" i="16"/>
  <c r="CF99" i="16"/>
  <c r="CF103" i="16"/>
  <c r="CG115" i="16"/>
  <c r="DA107" i="16"/>
  <c r="DC107" i="16" s="1"/>
  <c r="DA87" i="16"/>
  <c r="DC87" i="16" s="1"/>
  <c r="DA51" i="16"/>
  <c r="DC51" i="16" s="1"/>
  <c r="CG102" i="16"/>
  <c r="CG104" i="16"/>
  <c r="CG107" i="16"/>
  <c r="CF111" i="16"/>
  <c r="CF113" i="16"/>
  <c r="CF115" i="16"/>
  <c r="CF6" i="16"/>
  <c r="F9" i="16"/>
  <c r="H48" i="16"/>
  <c r="I48" i="16" s="1"/>
  <c r="DA106" i="16"/>
  <c r="DC106" i="16" s="1"/>
  <c r="DA94" i="16"/>
  <c r="DC94" i="16" s="1"/>
  <c r="DA86" i="16"/>
  <c r="DC86" i="16" s="1"/>
  <c r="DA82" i="16"/>
  <c r="DC82" i="16" s="1"/>
  <c r="CF8" i="16"/>
  <c r="CF10" i="16"/>
  <c r="CF12" i="16"/>
  <c r="CF14" i="16"/>
  <c r="CF16" i="16"/>
  <c r="CF18" i="16"/>
  <c r="CF20" i="16"/>
  <c r="CF22" i="16"/>
  <c r="CF24" i="16"/>
  <c r="CF26" i="16"/>
  <c r="CF28" i="16"/>
  <c r="CF30" i="16"/>
  <c r="CF32" i="16"/>
  <c r="CF34" i="16"/>
  <c r="CF36" i="16"/>
  <c r="CF38" i="16"/>
  <c r="CF40" i="16"/>
  <c r="CF42" i="16"/>
  <c r="CF44" i="16"/>
  <c r="CF46" i="16"/>
  <c r="CF48" i="16"/>
  <c r="CG49" i="16"/>
  <c r="CG51" i="16"/>
  <c r="CF53" i="16"/>
  <c r="CF55" i="16"/>
  <c r="CF57" i="16"/>
  <c r="CF59" i="16"/>
  <c r="CF61" i="16"/>
  <c r="CF63" i="16"/>
  <c r="CF65" i="16"/>
  <c r="CF67" i="16"/>
  <c r="CF69" i="16"/>
  <c r="CF71" i="16"/>
  <c r="CF73" i="16"/>
  <c r="CF75" i="16"/>
  <c r="CF77" i="16"/>
  <c r="CF79" i="16"/>
  <c r="CF81" i="16"/>
  <c r="CF83" i="16"/>
  <c r="CF85" i="16"/>
  <c r="CG86" i="16"/>
  <c r="CG88" i="16"/>
  <c r="CG90" i="16"/>
  <c r="CG92" i="16"/>
  <c r="CG94" i="16"/>
  <c r="CF96" i="16"/>
  <c r="CF98" i="16"/>
  <c r="CF100" i="16"/>
  <c r="CF102" i="16"/>
  <c r="CF104" i="16"/>
  <c r="CG105" i="16"/>
  <c r="CF107" i="16"/>
  <c r="CF109" i="16"/>
  <c r="CG110" i="16"/>
  <c r="CG112" i="16"/>
  <c r="CG114" i="16"/>
  <c r="BX6" i="16"/>
  <c r="BS6" i="16"/>
  <c r="BX115" i="16"/>
  <c r="BS115" i="16"/>
  <c r="BX114" i="16"/>
  <c r="BS114" i="16"/>
  <c r="BX113" i="16"/>
  <c r="BS113" i="16"/>
  <c r="BX112" i="16"/>
  <c r="BS112" i="16"/>
  <c r="BX111" i="16"/>
  <c r="BS111" i="16"/>
  <c r="BX110" i="16"/>
  <c r="BS110" i="16"/>
  <c r="BN109" i="16"/>
  <c r="BX109" i="16"/>
  <c r="BS109" i="16"/>
  <c r="BX108" i="16"/>
  <c r="BS108" i="16"/>
  <c r="BN107" i="16"/>
  <c r="BX107" i="16"/>
  <c r="BS107" i="16"/>
  <c r="BN106" i="16"/>
  <c r="BX106" i="16"/>
  <c r="BS106" i="16"/>
  <c r="BN105" i="16"/>
  <c r="BX105" i="16"/>
  <c r="BS105" i="16"/>
  <c r="BN104" i="16"/>
  <c r="BX104" i="16"/>
  <c r="BS104" i="16"/>
  <c r="BX103" i="16"/>
  <c r="BS103" i="16"/>
  <c r="BX102" i="16"/>
  <c r="BS102" i="16"/>
  <c r="BX101" i="16"/>
  <c r="BS101" i="16"/>
  <c r="BX100" i="16"/>
  <c r="BS100" i="16"/>
  <c r="BX99" i="16"/>
  <c r="BS99" i="16"/>
  <c r="BX98" i="16"/>
  <c r="BS98" i="16"/>
  <c r="BX97" i="16"/>
  <c r="BS97" i="16"/>
  <c r="BX96" i="16"/>
  <c r="BS96" i="16"/>
  <c r="BX95" i="16"/>
  <c r="BS95" i="16"/>
  <c r="BN94" i="16"/>
  <c r="BX94" i="16"/>
  <c r="BS94" i="16"/>
  <c r="BX93" i="16"/>
  <c r="BS93" i="16"/>
  <c r="BX92" i="16"/>
  <c r="BS92" i="16"/>
  <c r="BX91" i="16"/>
  <c r="BS91" i="16"/>
  <c r="BX90" i="16"/>
  <c r="BS90" i="16"/>
  <c r="BX89" i="16"/>
  <c r="BS89" i="16"/>
  <c r="BX88" i="16"/>
  <c r="BS88" i="16"/>
  <c r="BN87" i="16"/>
  <c r="BX87" i="16"/>
  <c r="BS87" i="16"/>
  <c r="BN86" i="16"/>
  <c r="BX86" i="16"/>
  <c r="BS86" i="16"/>
  <c r="BX85" i="16"/>
  <c r="BS85" i="16"/>
  <c r="BX84" i="16"/>
  <c r="BS84" i="16"/>
  <c r="BX83" i="16"/>
  <c r="BS83" i="16"/>
  <c r="BN82" i="16"/>
  <c r="BX82" i="16"/>
  <c r="BS82" i="16"/>
  <c r="BX81" i="16"/>
  <c r="BS81" i="16"/>
  <c r="BX80" i="16"/>
  <c r="BS80" i="16"/>
  <c r="BX79" i="16"/>
  <c r="BS79" i="16"/>
  <c r="BX78" i="16"/>
  <c r="BS78" i="16"/>
  <c r="BX77" i="16"/>
  <c r="BS77" i="16"/>
  <c r="BX76" i="16"/>
  <c r="BS76" i="16"/>
  <c r="BX75" i="16"/>
  <c r="BS75" i="16"/>
  <c r="BX74" i="16"/>
  <c r="BS74" i="16"/>
  <c r="BX73" i="16"/>
  <c r="BS73" i="16"/>
  <c r="BX72" i="16"/>
  <c r="BS72" i="16"/>
  <c r="BX71" i="16"/>
  <c r="BS71" i="16"/>
  <c r="BX70" i="16"/>
  <c r="BS70" i="16"/>
  <c r="BX69" i="16"/>
  <c r="BS69" i="16"/>
  <c r="BX68" i="16"/>
  <c r="BS68" i="16"/>
  <c r="BX67" i="16"/>
  <c r="BS67" i="16"/>
  <c r="BX66" i="16"/>
  <c r="BS66" i="16"/>
  <c r="BX65" i="16"/>
  <c r="BS65" i="16"/>
  <c r="BX64" i="16"/>
  <c r="BS64" i="16"/>
  <c r="BX63" i="16"/>
  <c r="BS63" i="16"/>
  <c r="BX62" i="16"/>
  <c r="BS62" i="16"/>
  <c r="BX61" i="16"/>
  <c r="BS61" i="16"/>
  <c r="BX60" i="16"/>
  <c r="BS60" i="16"/>
  <c r="BX59" i="16"/>
  <c r="BS59" i="16"/>
  <c r="BX58" i="16"/>
  <c r="BS58" i="16"/>
  <c r="BX57" i="16"/>
  <c r="BS57" i="16"/>
  <c r="BX56" i="16"/>
  <c r="BS56" i="16"/>
  <c r="BX55" i="16"/>
  <c r="BS55" i="16"/>
  <c r="BX54" i="16"/>
  <c r="BS54" i="16"/>
  <c r="BX53" i="16"/>
  <c r="BS53" i="16"/>
  <c r="BX52" i="16"/>
  <c r="BS52" i="16"/>
  <c r="BN51" i="16"/>
  <c r="BX51" i="16"/>
  <c r="BS51" i="16"/>
  <c r="BX50" i="16"/>
  <c r="BS50" i="16"/>
  <c r="BN49" i="16"/>
  <c r="BX49" i="16"/>
  <c r="BS49" i="16"/>
  <c r="BX48" i="16"/>
  <c r="BS48" i="16"/>
  <c r="BX47" i="16"/>
  <c r="BS47" i="16"/>
  <c r="BX46" i="16"/>
  <c r="BS46" i="16"/>
  <c r="BX45" i="16"/>
  <c r="BS45" i="16"/>
  <c r="BX44" i="16"/>
  <c r="BS44" i="16"/>
  <c r="BX43" i="16"/>
  <c r="BS43" i="16"/>
  <c r="BX42" i="16"/>
  <c r="BS42" i="16"/>
  <c r="BX41" i="16"/>
  <c r="BS41" i="16"/>
  <c r="BX40" i="16"/>
  <c r="BS40" i="16"/>
  <c r="BX39" i="16"/>
  <c r="BS39" i="16"/>
  <c r="BX38" i="16"/>
  <c r="BS38" i="16"/>
  <c r="BX37" i="16"/>
  <c r="BS37" i="16"/>
  <c r="BX36" i="16"/>
  <c r="BS36" i="16"/>
  <c r="BX35" i="16"/>
  <c r="BS35" i="16"/>
  <c r="BX34" i="16"/>
  <c r="BS34" i="16"/>
  <c r="BX33" i="16"/>
  <c r="BS33" i="16"/>
  <c r="BX32" i="16"/>
  <c r="BS32" i="16"/>
  <c r="BX31" i="16"/>
  <c r="BS31" i="16"/>
  <c r="BX30" i="16"/>
  <c r="BS30" i="16"/>
  <c r="BX29" i="16"/>
  <c r="BS29" i="16"/>
  <c r="BX28" i="16"/>
  <c r="BS28" i="16"/>
  <c r="BX27" i="16"/>
  <c r="BS27" i="16"/>
  <c r="BX26" i="16"/>
  <c r="BS26" i="16"/>
  <c r="BX25" i="16"/>
  <c r="BS25" i="16"/>
  <c r="BX24" i="16"/>
  <c r="BS24" i="16"/>
  <c r="BX23" i="16"/>
  <c r="BS23" i="16"/>
  <c r="BX22" i="16"/>
  <c r="BS22" i="16"/>
  <c r="BX21" i="16"/>
  <c r="BS21" i="16"/>
  <c r="BX20" i="16"/>
  <c r="BS20" i="16"/>
  <c r="BX19" i="16"/>
  <c r="BS19" i="16"/>
  <c r="BX18" i="16"/>
  <c r="BS18" i="16"/>
  <c r="BX17" i="16"/>
  <c r="BS17" i="16"/>
  <c r="BX16" i="16"/>
  <c r="BS16" i="16"/>
  <c r="BX15" i="16"/>
  <c r="BS15" i="16"/>
  <c r="BX14" i="16"/>
  <c r="BS14" i="16"/>
  <c r="BX13" i="16"/>
  <c r="BS13" i="16"/>
  <c r="BX12" i="16"/>
  <c r="BS12" i="16"/>
  <c r="BX11" i="16"/>
  <c r="BS11" i="16"/>
  <c r="BX10" i="16"/>
  <c r="BS10" i="16"/>
  <c r="BX9" i="16"/>
  <c r="BS9" i="16"/>
  <c r="BX8" i="16"/>
  <c r="BS8" i="16"/>
  <c r="BX7" i="16"/>
  <c r="BS7" i="16"/>
  <c r="BY6" i="16"/>
  <c r="BT6" i="16"/>
  <c r="BO115" i="16"/>
  <c r="BY115" i="16"/>
  <c r="BT115" i="16"/>
  <c r="BO114" i="16"/>
  <c r="BY114" i="16"/>
  <c r="BT114" i="16"/>
  <c r="BO113" i="16"/>
  <c r="BY113" i="16"/>
  <c r="BT113" i="16"/>
  <c r="BO112" i="16"/>
  <c r="BY112" i="16"/>
  <c r="BT112" i="16"/>
  <c r="BO111" i="16"/>
  <c r="BY111" i="16"/>
  <c r="BT111" i="16"/>
  <c r="BO110" i="16"/>
  <c r="BY110" i="16"/>
  <c r="BT110" i="16"/>
  <c r="BO109" i="16"/>
  <c r="BY109" i="16"/>
  <c r="BT109" i="16"/>
  <c r="BO108" i="16"/>
  <c r="BY108" i="16"/>
  <c r="BT108" i="16"/>
  <c r="BO107" i="16"/>
  <c r="BY107" i="16"/>
  <c r="BT107" i="16"/>
  <c r="BO106" i="16"/>
  <c r="BY106" i="16"/>
  <c r="BT106" i="16"/>
  <c r="BO105" i="16"/>
  <c r="BY105" i="16"/>
  <c r="BT105" i="16"/>
  <c r="BO104" i="16"/>
  <c r="BY104" i="16"/>
  <c r="BT104" i="16"/>
  <c r="BO103" i="16"/>
  <c r="BY103" i="16"/>
  <c r="BT103" i="16"/>
  <c r="BO102" i="16"/>
  <c r="BY102" i="16"/>
  <c r="BT102" i="16"/>
  <c r="BO101" i="16"/>
  <c r="BY101" i="16"/>
  <c r="BT101" i="16"/>
  <c r="BO100" i="16"/>
  <c r="BY100" i="16"/>
  <c r="BT100" i="16"/>
  <c r="BO99" i="16"/>
  <c r="BY99" i="16"/>
  <c r="BT99" i="16"/>
  <c r="BO98" i="16"/>
  <c r="BY98" i="16"/>
  <c r="BT98" i="16"/>
  <c r="BO97" i="16"/>
  <c r="BY97" i="16"/>
  <c r="BT97" i="16"/>
  <c r="BO96" i="16"/>
  <c r="BY96" i="16"/>
  <c r="BT96" i="16"/>
  <c r="BO95" i="16"/>
  <c r="BY95" i="16"/>
  <c r="BT95" i="16"/>
  <c r="BO94" i="16"/>
  <c r="BY94" i="16"/>
  <c r="BT94" i="16"/>
  <c r="BO93" i="16"/>
  <c r="BY93" i="16"/>
  <c r="BT93" i="16"/>
  <c r="BO92" i="16"/>
  <c r="BY92" i="16"/>
  <c r="BT92" i="16"/>
  <c r="BO91" i="16"/>
  <c r="BY91" i="16"/>
  <c r="BT91" i="16"/>
  <c r="BO90" i="16"/>
  <c r="BY90" i="16"/>
  <c r="BT90" i="16"/>
  <c r="BO89" i="16"/>
  <c r="BY89" i="16"/>
  <c r="BT89" i="16"/>
  <c r="BO88" i="16"/>
  <c r="BY88" i="16"/>
  <c r="BT88" i="16"/>
  <c r="BY87" i="16"/>
  <c r="BT87" i="16"/>
  <c r="BO86" i="16"/>
  <c r="BY86" i="16"/>
  <c r="BT86" i="16"/>
  <c r="BO85" i="16"/>
  <c r="BY85" i="16"/>
  <c r="BT85" i="16"/>
  <c r="BO84" i="16"/>
  <c r="BY84" i="16"/>
  <c r="BT84" i="16"/>
  <c r="BO83" i="16"/>
  <c r="BY83" i="16"/>
  <c r="BT83" i="16"/>
  <c r="BY82" i="16"/>
  <c r="BT82" i="16"/>
  <c r="BO81" i="16"/>
  <c r="BY81" i="16"/>
  <c r="BT81" i="16"/>
  <c r="BO80" i="16"/>
  <c r="BY80" i="16"/>
  <c r="BT80" i="16"/>
  <c r="BO79" i="16"/>
  <c r="BY79" i="16"/>
  <c r="BT79" i="16"/>
  <c r="BO78" i="16"/>
  <c r="BY78" i="16"/>
  <c r="BT78" i="16"/>
  <c r="BO77" i="16"/>
  <c r="BY77" i="16"/>
  <c r="BT77" i="16"/>
  <c r="BO76" i="16"/>
  <c r="BY76" i="16"/>
  <c r="BT76" i="16"/>
  <c r="BO75" i="16"/>
  <c r="BY75" i="16"/>
  <c r="BT75" i="16"/>
  <c r="BO74" i="16"/>
  <c r="BY74" i="16"/>
  <c r="BT74" i="16"/>
  <c r="BO73" i="16"/>
  <c r="BY73" i="16"/>
  <c r="BT73" i="16"/>
  <c r="BO72" i="16"/>
  <c r="BY72" i="16"/>
  <c r="BT72" i="16"/>
  <c r="BO71" i="16"/>
  <c r="BY71" i="16"/>
  <c r="BT71" i="16"/>
  <c r="BO70" i="16"/>
  <c r="BY70" i="16"/>
  <c r="BT70" i="16"/>
  <c r="BO69" i="16"/>
  <c r="BY69" i="16"/>
  <c r="BT69" i="16"/>
  <c r="BO68" i="16"/>
  <c r="BY68" i="16"/>
  <c r="BT68" i="16"/>
  <c r="BO67" i="16"/>
  <c r="BY67" i="16"/>
  <c r="BT67" i="16"/>
  <c r="BO66" i="16"/>
  <c r="BY66" i="16"/>
  <c r="BT66" i="16"/>
  <c r="BO65" i="16"/>
  <c r="BY65" i="16"/>
  <c r="BT65" i="16"/>
  <c r="BO64" i="16"/>
  <c r="BY64" i="16"/>
  <c r="BT64" i="16"/>
  <c r="BO63" i="16"/>
  <c r="BY63" i="16"/>
  <c r="BT63" i="16"/>
  <c r="BO62" i="16"/>
  <c r="BY62" i="16"/>
  <c r="BT62" i="16"/>
  <c r="BO61" i="16"/>
  <c r="BY61" i="16"/>
  <c r="BT61" i="16"/>
  <c r="BO60" i="16"/>
  <c r="BY60" i="16"/>
  <c r="BT60" i="16"/>
  <c r="BO59" i="16"/>
  <c r="BY59" i="16"/>
  <c r="BT59" i="16"/>
  <c r="BO58" i="16"/>
  <c r="BY58" i="16"/>
  <c r="BT58" i="16"/>
  <c r="BO57" i="16"/>
  <c r="BY57" i="16"/>
  <c r="BT57" i="16"/>
  <c r="BO56" i="16"/>
  <c r="BY56" i="16"/>
  <c r="BT56" i="16"/>
  <c r="BO55" i="16"/>
  <c r="BY55" i="16"/>
  <c r="BT55" i="16"/>
  <c r="BO54" i="16"/>
  <c r="BY54" i="16"/>
  <c r="BT54" i="16"/>
  <c r="BO53" i="16"/>
  <c r="BY53" i="16"/>
  <c r="BT53" i="16"/>
  <c r="BO52" i="16"/>
  <c r="BY52" i="16"/>
  <c r="BT52" i="16"/>
  <c r="BO51" i="16"/>
  <c r="BY51" i="16"/>
  <c r="BT51" i="16"/>
  <c r="BO50" i="16"/>
  <c r="BY50" i="16"/>
  <c r="BT50" i="16"/>
  <c r="BO49" i="16"/>
  <c r="BY49" i="16"/>
  <c r="BT49" i="16"/>
  <c r="BO48" i="16"/>
  <c r="BY48" i="16"/>
  <c r="BT48" i="16"/>
  <c r="BO47" i="16"/>
  <c r="BY47" i="16"/>
  <c r="BT47" i="16"/>
  <c r="BO46" i="16"/>
  <c r="BY46" i="16"/>
  <c r="BT46" i="16"/>
  <c r="BO45" i="16"/>
  <c r="BY45" i="16"/>
  <c r="BT45" i="16"/>
  <c r="BO44" i="16"/>
  <c r="BY44" i="16"/>
  <c r="BT44" i="16"/>
  <c r="BO43" i="16"/>
  <c r="BY43" i="16"/>
  <c r="BT43" i="16"/>
  <c r="BO42" i="16"/>
  <c r="BY42" i="16"/>
  <c r="BT42" i="16"/>
  <c r="BO41" i="16"/>
  <c r="BY41" i="16"/>
  <c r="BT41" i="16"/>
  <c r="BO40" i="16"/>
  <c r="BY40" i="16"/>
  <c r="BT40" i="16"/>
  <c r="BO39" i="16"/>
  <c r="BY39" i="16"/>
  <c r="BT39" i="16"/>
  <c r="BO38" i="16"/>
  <c r="BY38" i="16"/>
  <c r="BT38" i="16"/>
  <c r="BO37" i="16"/>
  <c r="BY37" i="16"/>
  <c r="BT37" i="16"/>
  <c r="BO36" i="16"/>
  <c r="BY36" i="16"/>
  <c r="BT36" i="16"/>
  <c r="BO35" i="16"/>
  <c r="BY35" i="16"/>
  <c r="BT35" i="16"/>
  <c r="BO34" i="16"/>
  <c r="BY34" i="16"/>
  <c r="BT34" i="16"/>
  <c r="BO33" i="16"/>
  <c r="BY33" i="16"/>
  <c r="BT33" i="16"/>
  <c r="BO32" i="16"/>
  <c r="BY32" i="16"/>
  <c r="BT32" i="16"/>
  <c r="BO31" i="16"/>
  <c r="BY31" i="16"/>
  <c r="BT31" i="16"/>
  <c r="BO30" i="16"/>
  <c r="BY30" i="16"/>
  <c r="BT30" i="16"/>
  <c r="BO29" i="16"/>
  <c r="BY29" i="16"/>
  <c r="BT29" i="16"/>
  <c r="BO28" i="16"/>
  <c r="BY28" i="16"/>
  <c r="BT28" i="16"/>
  <c r="BO27" i="16"/>
  <c r="BY27" i="16"/>
  <c r="BT27" i="16"/>
  <c r="BO26" i="16"/>
  <c r="BY26" i="16"/>
  <c r="BT26" i="16"/>
  <c r="BO25" i="16"/>
  <c r="BY25" i="16"/>
  <c r="BT25" i="16"/>
  <c r="BO24" i="16"/>
  <c r="BY24" i="16"/>
  <c r="BT24" i="16"/>
  <c r="BO23" i="16"/>
  <c r="BY23" i="16"/>
  <c r="BT23" i="16"/>
  <c r="BO22" i="16"/>
  <c r="BY22" i="16"/>
  <c r="BT22" i="16"/>
  <c r="BO21" i="16"/>
  <c r="BY21" i="16"/>
  <c r="BT21" i="16"/>
  <c r="BO20" i="16"/>
  <c r="BY20" i="16"/>
  <c r="BT20" i="16"/>
  <c r="BO19" i="16"/>
  <c r="BY19" i="16"/>
  <c r="BT19" i="16"/>
  <c r="BO18" i="16"/>
  <c r="BY18" i="16"/>
  <c r="BT18" i="16"/>
  <c r="BO17" i="16"/>
  <c r="BY17" i="16"/>
  <c r="BT17" i="16"/>
  <c r="BO16" i="16"/>
  <c r="BY16" i="16"/>
  <c r="BT16" i="16"/>
  <c r="BO15" i="16"/>
  <c r="BY15" i="16"/>
  <c r="BT15" i="16"/>
  <c r="BO14" i="16"/>
  <c r="BY14" i="16"/>
  <c r="BT14" i="16"/>
  <c r="BO13" i="16"/>
  <c r="BY13" i="16"/>
  <c r="BT13" i="16"/>
  <c r="BO12" i="16"/>
  <c r="BY12" i="16"/>
  <c r="BT12" i="16"/>
  <c r="BO11" i="16"/>
  <c r="BY11" i="16"/>
  <c r="BT11" i="16"/>
  <c r="BO10" i="16"/>
  <c r="BY10" i="16"/>
  <c r="BT10" i="16"/>
  <c r="BO9" i="16"/>
  <c r="BY9" i="16"/>
  <c r="BT9" i="16"/>
  <c r="BO8" i="16"/>
  <c r="BY8" i="16"/>
  <c r="BT8" i="16"/>
  <c r="BO7" i="16"/>
  <c r="BY7" i="16"/>
  <c r="BT7" i="16"/>
  <c r="BZ6" i="16"/>
  <c r="BU6" i="16"/>
  <c r="BP115" i="16"/>
  <c r="BZ115" i="16"/>
  <c r="BU115" i="16"/>
  <c r="BP114" i="16"/>
  <c r="BZ114" i="16"/>
  <c r="BU114" i="16"/>
  <c r="BP113" i="16"/>
  <c r="BZ113" i="16"/>
  <c r="BU113" i="16"/>
  <c r="BP112" i="16"/>
  <c r="BZ112" i="16"/>
  <c r="BU112" i="16"/>
  <c r="BP111" i="16"/>
  <c r="BZ111" i="16"/>
  <c r="BU111" i="16"/>
  <c r="BP110" i="16"/>
  <c r="BZ110" i="16"/>
  <c r="BU110" i="16"/>
  <c r="BP109" i="16"/>
  <c r="BZ109" i="16"/>
  <c r="BU109" i="16"/>
  <c r="BP108" i="16"/>
  <c r="BZ108" i="16"/>
  <c r="BU108" i="16"/>
  <c r="BZ107" i="16"/>
  <c r="BU107" i="16"/>
  <c r="BZ106" i="16"/>
  <c r="BU106" i="16"/>
  <c r="BP105" i="16"/>
  <c r="BZ105" i="16"/>
  <c r="BU105" i="16"/>
  <c r="BP104" i="16"/>
  <c r="BZ104" i="16"/>
  <c r="BU104" i="16"/>
  <c r="BP103" i="16"/>
  <c r="BZ103" i="16"/>
  <c r="BU103" i="16"/>
  <c r="BP102" i="16"/>
  <c r="BZ102" i="16"/>
  <c r="BU102" i="16"/>
  <c r="BP101" i="16"/>
  <c r="BZ101" i="16"/>
  <c r="BU101" i="16"/>
  <c r="BP100" i="16"/>
  <c r="BZ100" i="16"/>
  <c r="BU100" i="16"/>
  <c r="BP99" i="16"/>
  <c r="BZ99" i="16"/>
  <c r="BU99" i="16"/>
  <c r="BP98" i="16"/>
  <c r="BZ98" i="16"/>
  <c r="BU98" i="16"/>
  <c r="BP97" i="16"/>
  <c r="BZ97" i="16"/>
  <c r="BU97" i="16"/>
  <c r="BP96" i="16"/>
  <c r="BZ96" i="16"/>
  <c r="BU96" i="16"/>
  <c r="BP95" i="16"/>
  <c r="BZ95" i="16"/>
  <c r="BU95" i="16"/>
  <c r="BP94" i="16"/>
  <c r="BZ94" i="16"/>
  <c r="BU94" i="16"/>
  <c r="BP93" i="16"/>
  <c r="BZ93" i="16"/>
  <c r="BU93" i="16"/>
  <c r="BP92" i="16"/>
  <c r="BZ92" i="16"/>
  <c r="BU92" i="16"/>
  <c r="BP91" i="16"/>
  <c r="BZ91" i="16"/>
  <c r="BU91" i="16"/>
  <c r="BP90" i="16"/>
  <c r="BZ90" i="16"/>
  <c r="BU90" i="16"/>
  <c r="BP89" i="16"/>
  <c r="BZ89" i="16"/>
  <c r="BU89" i="16"/>
  <c r="BP88" i="16"/>
  <c r="BZ88" i="16"/>
  <c r="BU88" i="16"/>
  <c r="BZ87" i="16"/>
  <c r="BU87" i="16"/>
  <c r="BP86" i="16"/>
  <c r="BZ86" i="16"/>
  <c r="BU86" i="16"/>
  <c r="BP85" i="16"/>
  <c r="BZ85" i="16"/>
  <c r="BU85" i="16"/>
  <c r="BP84" i="16"/>
  <c r="BZ84" i="16"/>
  <c r="BU84" i="16"/>
  <c r="BP83" i="16"/>
  <c r="BZ83" i="16"/>
  <c r="BU83" i="16"/>
  <c r="BZ82" i="16"/>
  <c r="BU82" i="16"/>
  <c r="BP81" i="16"/>
  <c r="BZ81" i="16"/>
  <c r="BU81" i="16"/>
  <c r="BP80" i="16"/>
  <c r="BZ80" i="16"/>
  <c r="BU80" i="16"/>
  <c r="BP79" i="16"/>
  <c r="BZ79" i="16"/>
  <c r="BU79" i="16"/>
  <c r="BP78" i="16"/>
  <c r="BZ78" i="16"/>
  <c r="BU78" i="16"/>
  <c r="BP77" i="16"/>
  <c r="BZ77" i="16"/>
  <c r="BU77" i="16"/>
  <c r="BP76" i="16"/>
  <c r="BZ76" i="16"/>
  <c r="BU76" i="16"/>
  <c r="BP75" i="16"/>
  <c r="BZ75" i="16"/>
  <c r="BU75" i="16"/>
  <c r="BP74" i="16"/>
  <c r="BZ74" i="16"/>
  <c r="BU74" i="16"/>
  <c r="BP73" i="16"/>
  <c r="BZ73" i="16"/>
  <c r="BU73" i="16"/>
  <c r="BP72" i="16"/>
  <c r="BZ72" i="16"/>
  <c r="BU72" i="16"/>
  <c r="BP71" i="16"/>
  <c r="BZ71" i="16"/>
  <c r="BU71" i="16"/>
  <c r="BP70" i="16"/>
  <c r="BZ70" i="16"/>
  <c r="BU70" i="16"/>
  <c r="BP69" i="16"/>
  <c r="BZ69" i="16"/>
  <c r="BU69" i="16"/>
  <c r="BP68" i="16"/>
  <c r="BZ68" i="16"/>
  <c r="BU68" i="16"/>
  <c r="BP67" i="16"/>
  <c r="BZ67" i="16"/>
  <c r="BU67" i="16"/>
  <c r="BP66" i="16"/>
  <c r="BZ66" i="16"/>
  <c r="BU66" i="16"/>
  <c r="BP65" i="16"/>
  <c r="BZ65" i="16"/>
  <c r="BU65" i="16"/>
  <c r="BP64" i="16"/>
  <c r="BZ64" i="16"/>
  <c r="BU64" i="16"/>
  <c r="BP63" i="16"/>
  <c r="BZ63" i="16"/>
  <c r="BU63" i="16"/>
  <c r="BP62" i="16"/>
  <c r="BZ62" i="16"/>
  <c r="BU62" i="16"/>
  <c r="BP61" i="16"/>
  <c r="BZ61" i="16"/>
  <c r="BU61" i="16"/>
  <c r="BP60" i="16"/>
  <c r="BZ60" i="16"/>
  <c r="BU60" i="16"/>
  <c r="BP59" i="16"/>
  <c r="BZ59" i="16"/>
  <c r="BU59" i="16"/>
  <c r="BP58" i="16"/>
  <c r="BZ58" i="16"/>
  <c r="BU58" i="16"/>
  <c r="BP57" i="16"/>
  <c r="BZ57" i="16"/>
  <c r="BU57" i="16"/>
  <c r="BP56" i="16"/>
  <c r="BZ56" i="16"/>
  <c r="BU56" i="16"/>
  <c r="BP55" i="16"/>
  <c r="BZ55" i="16"/>
  <c r="BU55" i="16"/>
  <c r="BP54" i="16"/>
  <c r="BZ54" i="16"/>
  <c r="BU54" i="16"/>
  <c r="BP53" i="16"/>
  <c r="BZ53" i="16"/>
  <c r="BU53" i="16"/>
  <c r="BP52" i="16"/>
  <c r="BZ52" i="16"/>
  <c r="BU52" i="16"/>
  <c r="BP51" i="16"/>
  <c r="BZ51" i="16"/>
  <c r="BU51" i="16"/>
  <c r="BP50" i="16"/>
  <c r="BZ50" i="16"/>
  <c r="BU50" i="16"/>
  <c r="BP49" i="16"/>
  <c r="BZ49" i="16"/>
  <c r="BU49" i="16"/>
  <c r="BP48" i="16"/>
  <c r="BZ48" i="16"/>
  <c r="BU48" i="16"/>
  <c r="BP47" i="16"/>
  <c r="BZ47" i="16"/>
  <c r="BU47" i="16"/>
  <c r="BP46" i="16"/>
  <c r="BZ46" i="16"/>
  <c r="BU46" i="16"/>
  <c r="BP45" i="16"/>
  <c r="BZ45" i="16"/>
  <c r="BU45" i="16"/>
  <c r="BP44" i="16"/>
  <c r="BZ44" i="16"/>
  <c r="BU44" i="16"/>
  <c r="BP43" i="16"/>
  <c r="BZ43" i="16"/>
  <c r="BU43" i="16"/>
  <c r="BP42" i="16"/>
  <c r="BZ42" i="16"/>
  <c r="BU42" i="16"/>
  <c r="BP41" i="16"/>
  <c r="BZ41" i="16"/>
  <c r="BU41" i="16"/>
  <c r="BP40" i="16"/>
  <c r="BZ40" i="16"/>
  <c r="BU40" i="16"/>
  <c r="BP39" i="16"/>
  <c r="BZ39" i="16"/>
  <c r="BU39" i="16"/>
  <c r="BP38" i="16"/>
  <c r="BZ38" i="16"/>
  <c r="BU38" i="16"/>
  <c r="BP37" i="16"/>
  <c r="BZ37" i="16"/>
  <c r="BU37" i="16"/>
  <c r="BP36" i="16"/>
  <c r="BZ36" i="16"/>
  <c r="BU36" i="16"/>
  <c r="BP35" i="16"/>
  <c r="BZ35" i="16"/>
  <c r="BU35" i="16"/>
  <c r="BP34" i="16"/>
  <c r="BZ34" i="16"/>
  <c r="BU34" i="16"/>
  <c r="BP33" i="16"/>
  <c r="BZ33" i="16"/>
  <c r="BU33" i="16"/>
  <c r="BP32" i="16"/>
  <c r="BZ32" i="16"/>
  <c r="BU32" i="16"/>
  <c r="BP31" i="16"/>
  <c r="BZ31" i="16"/>
  <c r="BU31" i="16"/>
  <c r="BP30" i="16"/>
  <c r="BZ30" i="16"/>
  <c r="BU30" i="16"/>
  <c r="BP29" i="16"/>
  <c r="BZ29" i="16"/>
  <c r="BU29" i="16"/>
  <c r="BP28" i="16"/>
  <c r="BZ28" i="16"/>
  <c r="BU28" i="16"/>
  <c r="BP27" i="16"/>
  <c r="BZ27" i="16"/>
  <c r="BU27" i="16"/>
  <c r="BP26" i="16"/>
  <c r="BZ26" i="16"/>
  <c r="BU26" i="16"/>
  <c r="BP25" i="16"/>
  <c r="BZ25" i="16"/>
  <c r="BU25" i="16"/>
  <c r="BP24" i="16"/>
  <c r="BZ24" i="16"/>
  <c r="BU24" i="16"/>
  <c r="BP23" i="16"/>
  <c r="BZ23" i="16"/>
  <c r="BU23" i="16"/>
  <c r="BP22" i="16"/>
  <c r="BZ22" i="16"/>
  <c r="BU22" i="16"/>
  <c r="BP21" i="16"/>
  <c r="BZ21" i="16"/>
  <c r="BU21" i="16"/>
  <c r="BP20" i="16"/>
  <c r="BZ20" i="16"/>
  <c r="BU20" i="16"/>
  <c r="BP19" i="16"/>
  <c r="BZ19" i="16"/>
  <c r="BU19" i="16"/>
  <c r="BP18" i="16"/>
  <c r="BZ18" i="16"/>
  <c r="BU18" i="16"/>
  <c r="BP17" i="16"/>
  <c r="BZ17" i="16"/>
  <c r="BU17" i="16"/>
  <c r="BP16" i="16"/>
  <c r="BZ16" i="16"/>
  <c r="BU16" i="16"/>
  <c r="BP15" i="16"/>
  <c r="BZ15" i="16"/>
  <c r="BU15" i="16"/>
  <c r="BP14" i="16"/>
  <c r="BZ14" i="16"/>
  <c r="BU14" i="16"/>
  <c r="BP13" i="16"/>
  <c r="BZ13" i="16"/>
  <c r="BU13" i="16"/>
  <c r="BP12" i="16"/>
  <c r="BZ12" i="16"/>
  <c r="BU12" i="16"/>
  <c r="BP11" i="16"/>
  <c r="BZ11" i="16"/>
  <c r="BU11" i="16"/>
  <c r="BP10" i="16"/>
  <c r="BZ10" i="16"/>
  <c r="BU10" i="16"/>
  <c r="BP9" i="16"/>
  <c r="BZ9" i="16"/>
  <c r="BU9" i="16"/>
  <c r="BP8" i="16"/>
  <c r="BZ8" i="16"/>
  <c r="BU8" i="16"/>
  <c r="BP7" i="16"/>
  <c r="BZ7" i="16"/>
  <c r="BU7" i="16"/>
  <c r="Q116" i="16"/>
  <c r="BO6" i="16"/>
  <c r="R116" i="16"/>
  <c r="J10" i="16" s="1"/>
  <c r="BP6" i="16"/>
  <c r="AR6" i="16"/>
  <c r="AP6" i="16"/>
  <c r="AW6" i="16" s="1"/>
  <c r="AE6" i="16"/>
  <c r="AC6" i="16"/>
  <c r="AJ6" i="16" s="1"/>
  <c r="AP115" i="16"/>
  <c r="AW115" i="16" s="1"/>
  <c r="AR115" i="16"/>
  <c r="AE115" i="16"/>
  <c r="AC115" i="16"/>
  <c r="AJ115" i="16" s="1"/>
  <c r="AP114" i="16"/>
  <c r="AW114" i="16" s="1"/>
  <c r="AR114" i="16"/>
  <c r="AE114" i="16"/>
  <c r="AC114" i="16"/>
  <c r="AP113" i="16"/>
  <c r="AW113" i="16" s="1"/>
  <c r="AR113" i="16"/>
  <c r="AE113" i="16"/>
  <c r="AC113" i="16"/>
  <c r="AP112" i="16"/>
  <c r="AW112" i="16" s="1"/>
  <c r="AR112" i="16"/>
  <c r="AE112" i="16"/>
  <c r="AC112" i="16"/>
  <c r="AP111" i="16"/>
  <c r="AW111" i="16" s="1"/>
  <c r="AR111" i="16"/>
  <c r="AE111" i="16"/>
  <c r="AC111" i="16"/>
  <c r="AJ111" i="16" s="1"/>
  <c r="AP110" i="16"/>
  <c r="AW110" i="16" s="1"/>
  <c r="AR110" i="16"/>
  <c r="AE110" i="16"/>
  <c r="AC110" i="16"/>
  <c r="AP109" i="16"/>
  <c r="AW109" i="16" s="1"/>
  <c r="AR109" i="16"/>
  <c r="AE109" i="16"/>
  <c r="AC109" i="16"/>
  <c r="AJ109" i="16" s="1"/>
  <c r="AP108" i="16"/>
  <c r="AW108" i="16" s="1"/>
  <c r="AR108" i="16"/>
  <c r="AE108" i="16"/>
  <c r="AC108" i="16"/>
  <c r="AP107" i="16"/>
  <c r="AW107" i="16" s="1"/>
  <c r="AR107" i="16"/>
  <c r="AE107" i="16"/>
  <c r="AC107" i="16"/>
  <c r="AP106" i="16"/>
  <c r="AW106" i="16" s="1"/>
  <c r="AR106" i="16"/>
  <c r="AE106" i="16"/>
  <c r="AC106" i="16"/>
  <c r="AJ106" i="16" s="1"/>
  <c r="AP105" i="16"/>
  <c r="AW105" i="16" s="1"/>
  <c r="AR105" i="16"/>
  <c r="AE105" i="16"/>
  <c r="AC105" i="16"/>
  <c r="AJ105" i="16" s="1"/>
  <c r="AP104" i="16"/>
  <c r="AW104" i="16" s="1"/>
  <c r="AR104" i="16"/>
  <c r="AE104" i="16"/>
  <c r="AC104" i="16"/>
  <c r="AJ104" i="16" s="1"/>
  <c r="AP103" i="16"/>
  <c r="AW103" i="16" s="1"/>
  <c r="AR103" i="16"/>
  <c r="AE103" i="16"/>
  <c r="AC103" i="16"/>
  <c r="AJ103" i="16" s="1"/>
  <c r="AP102" i="16"/>
  <c r="AW102" i="16" s="1"/>
  <c r="AR102" i="16"/>
  <c r="AE102" i="16"/>
  <c r="AC102" i="16"/>
  <c r="AJ102" i="16" s="1"/>
  <c r="AP101" i="16"/>
  <c r="AW101" i="16" s="1"/>
  <c r="AR101" i="16"/>
  <c r="AE101" i="16"/>
  <c r="AC101" i="16"/>
  <c r="AJ101" i="16" s="1"/>
  <c r="AP100" i="16"/>
  <c r="AW100" i="16" s="1"/>
  <c r="AR100" i="16"/>
  <c r="AE100" i="16"/>
  <c r="AC100" i="16"/>
  <c r="AJ100" i="16" s="1"/>
  <c r="AP99" i="16"/>
  <c r="AW99" i="16" s="1"/>
  <c r="AR99" i="16"/>
  <c r="AE99" i="16"/>
  <c r="AC99" i="16"/>
  <c r="AP98" i="16"/>
  <c r="AW98" i="16" s="1"/>
  <c r="AR98" i="16"/>
  <c r="AE98" i="16"/>
  <c r="AC98" i="16"/>
  <c r="AJ98" i="16" s="1"/>
  <c r="AP97" i="16"/>
  <c r="AW97" i="16" s="1"/>
  <c r="AR97" i="16"/>
  <c r="AE97" i="16"/>
  <c r="AC97" i="16"/>
  <c r="AJ97" i="16" s="1"/>
  <c r="AP96" i="16"/>
  <c r="AW96" i="16" s="1"/>
  <c r="AR96" i="16"/>
  <c r="AE96" i="16"/>
  <c r="AC96" i="16"/>
  <c r="AP95" i="16"/>
  <c r="AW95" i="16" s="1"/>
  <c r="AR95" i="16"/>
  <c r="AE95" i="16"/>
  <c r="AC95" i="16"/>
  <c r="AJ95" i="16" s="1"/>
  <c r="AP94" i="16"/>
  <c r="AW94" i="16" s="1"/>
  <c r="AR94" i="16"/>
  <c r="AE94" i="16"/>
  <c r="AC94" i="16"/>
  <c r="AJ94" i="16" s="1"/>
  <c r="AP93" i="16"/>
  <c r="AW93" i="16" s="1"/>
  <c r="AR93" i="16"/>
  <c r="AE93" i="16"/>
  <c r="AC93" i="16"/>
  <c r="AJ93" i="16" s="1"/>
  <c r="AP92" i="16"/>
  <c r="AW92" i="16" s="1"/>
  <c r="AR92" i="16"/>
  <c r="AE92" i="16"/>
  <c r="AC92" i="16"/>
  <c r="AJ92" i="16" s="1"/>
  <c r="AP91" i="16"/>
  <c r="AW91" i="16" s="1"/>
  <c r="AR91" i="16"/>
  <c r="AE91" i="16"/>
  <c r="AC91" i="16"/>
  <c r="AJ91" i="16" s="1"/>
  <c r="AP90" i="16"/>
  <c r="AW90" i="16" s="1"/>
  <c r="AR90" i="16"/>
  <c r="AE90" i="16"/>
  <c r="AC90" i="16"/>
  <c r="AP89" i="16"/>
  <c r="AW89" i="16" s="1"/>
  <c r="AR89" i="16"/>
  <c r="AE89" i="16"/>
  <c r="AC89" i="16"/>
  <c r="AP88" i="16"/>
  <c r="AW88" i="16" s="1"/>
  <c r="AR88" i="16"/>
  <c r="AE88" i="16"/>
  <c r="AC88" i="16"/>
  <c r="AJ88" i="16" s="1"/>
  <c r="AP87" i="16"/>
  <c r="AW87" i="16" s="1"/>
  <c r="AR87" i="16"/>
  <c r="AE87" i="16"/>
  <c r="AC87" i="16"/>
  <c r="AJ87" i="16" s="1"/>
  <c r="AP86" i="16"/>
  <c r="AW86" i="16" s="1"/>
  <c r="AR86" i="16"/>
  <c r="AE86" i="16"/>
  <c r="AC86" i="16"/>
  <c r="AJ86" i="16" s="1"/>
  <c r="AP85" i="16"/>
  <c r="AW85" i="16" s="1"/>
  <c r="AR85" i="16"/>
  <c r="AE85" i="16"/>
  <c r="AC85" i="16"/>
  <c r="AJ85" i="16" s="1"/>
  <c r="AP84" i="16"/>
  <c r="AW84" i="16" s="1"/>
  <c r="AR84" i="16"/>
  <c r="AE84" i="16"/>
  <c r="AC84" i="16"/>
  <c r="AJ84" i="16" s="1"/>
  <c r="AP83" i="16"/>
  <c r="AW83" i="16" s="1"/>
  <c r="AR83" i="16"/>
  <c r="AE83" i="16"/>
  <c r="AC83" i="16"/>
  <c r="AJ83" i="16" s="1"/>
  <c r="AP82" i="16"/>
  <c r="AW82" i="16" s="1"/>
  <c r="AR82" i="16"/>
  <c r="AE82" i="16"/>
  <c r="AC82" i="16"/>
  <c r="AJ82" i="16" s="1"/>
  <c r="AP81" i="16"/>
  <c r="AW81" i="16" s="1"/>
  <c r="AR81" i="16"/>
  <c r="AE81" i="16"/>
  <c r="AC81" i="16"/>
  <c r="AP80" i="16"/>
  <c r="AW80" i="16" s="1"/>
  <c r="AR80" i="16"/>
  <c r="AE80" i="16"/>
  <c r="AC80" i="16"/>
  <c r="AP79" i="16"/>
  <c r="AW79" i="16" s="1"/>
  <c r="AR79" i="16"/>
  <c r="AE79" i="16"/>
  <c r="AC79" i="16"/>
  <c r="AP78" i="16"/>
  <c r="AW78" i="16" s="1"/>
  <c r="AR78" i="16"/>
  <c r="AE78" i="16"/>
  <c r="AC78" i="16"/>
  <c r="AJ78" i="16" s="1"/>
  <c r="AP77" i="16"/>
  <c r="AW77" i="16" s="1"/>
  <c r="AR77" i="16"/>
  <c r="AE77" i="16"/>
  <c r="AC77" i="16"/>
  <c r="AP76" i="16"/>
  <c r="AW76" i="16" s="1"/>
  <c r="AR76" i="16"/>
  <c r="AE76" i="16"/>
  <c r="AC76" i="16"/>
  <c r="AJ76" i="16" s="1"/>
  <c r="AP75" i="16"/>
  <c r="AW75" i="16" s="1"/>
  <c r="AR75" i="16"/>
  <c r="AE75" i="16"/>
  <c r="AC75" i="16"/>
  <c r="AP74" i="16"/>
  <c r="AW74" i="16" s="1"/>
  <c r="AR74" i="16"/>
  <c r="AE74" i="16"/>
  <c r="AC74" i="16"/>
  <c r="AP73" i="16"/>
  <c r="AW73" i="16" s="1"/>
  <c r="AR73" i="16"/>
  <c r="AE73" i="16"/>
  <c r="AC73" i="16"/>
  <c r="AP72" i="16"/>
  <c r="AW72" i="16" s="1"/>
  <c r="AR72" i="16"/>
  <c r="AE72" i="16"/>
  <c r="AC72" i="16"/>
  <c r="AP71" i="16"/>
  <c r="AW71" i="16" s="1"/>
  <c r="AR71" i="16"/>
  <c r="AE71" i="16"/>
  <c r="AC71" i="16"/>
  <c r="AP70" i="16"/>
  <c r="AW70" i="16" s="1"/>
  <c r="AR70" i="16"/>
  <c r="AE70" i="16"/>
  <c r="AC70" i="16"/>
  <c r="AP69" i="16"/>
  <c r="AW69" i="16" s="1"/>
  <c r="AR69" i="16"/>
  <c r="AE69" i="16"/>
  <c r="AC69" i="16"/>
  <c r="AP68" i="16"/>
  <c r="AW68" i="16" s="1"/>
  <c r="AR68" i="16"/>
  <c r="AE68" i="16"/>
  <c r="AC68" i="16"/>
  <c r="AP67" i="16"/>
  <c r="AW67" i="16" s="1"/>
  <c r="AR67" i="16"/>
  <c r="AE67" i="16"/>
  <c r="AC67" i="16"/>
  <c r="AP66" i="16"/>
  <c r="AW66" i="16" s="1"/>
  <c r="AR66" i="16"/>
  <c r="AE66" i="16"/>
  <c r="AC66" i="16"/>
  <c r="AP65" i="16"/>
  <c r="AW65" i="16" s="1"/>
  <c r="AR65" i="16"/>
  <c r="AE65" i="16"/>
  <c r="AC65" i="16"/>
  <c r="AP64" i="16"/>
  <c r="AW64" i="16" s="1"/>
  <c r="AR64" i="16"/>
  <c r="AE64" i="16"/>
  <c r="AC64" i="16"/>
  <c r="AP63" i="16"/>
  <c r="AW63" i="16" s="1"/>
  <c r="AR63" i="16"/>
  <c r="AE63" i="16"/>
  <c r="AC63" i="16"/>
  <c r="AP62" i="16"/>
  <c r="AW62" i="16" s="1"/>
  <c r="AR62" i="16"/>
  <c r="AE62" i="16"/>
  <c r="AC62" i="16"/>
  <c r="AP61" i="16"/>
  <c r="AW61" i="16" s="1"/>
  <c r="AR61" i="16"/>
  <c r="AE61" i="16"/>
  <c r="AC61" i="16"/>
  <c r="AP60" i="16"/>
  <c r="AW60" i="16" s="1"/>
  <c r="AR60" i="16"/>
  <c r="AE60" i="16"/>
  <c r="AC60" i="16"/>
  <c r="AP59" i="16"/>
  <c r="AW59" i="16" s="1"/>
  <c r="AR59" i="16"/>
  <c r="AE59" i="16"/>
  <c r="AC59" i="16"/>
  <c r="AP58" i="16"/>
  <c r="AW58" i="16" s="1"/>
  <c r="AR58" i="16"/>
  <c r="AE58" i="16"/>
  <c r="AC58" i="16"/>
  <c r="AP57" i="16"/>
  <c r="AW57" i="16" s="1"/>
  <c r="AR57" i="16"/>
  <c r="AE57" i="16"/>
  <c r="AC57" i="16"/>
  <c r="AP56" i="16"/>
  <c r="AW56" i="16" s="1"/>
  <c r="AR56" i="16"/>
  <c r="AE56" i="16"/>
  <c r="AC56" i="16"/>
  <c r="AP55" i="16"/>
  <c r="AW55" i="16" s="1"/>
  <c r="AR55" i="16"/>
  <c r="AE55" i="16"/>
  <c r="AC55" i="16"/>
  <c r="AP54" i="16"/>
  <c r="AW54" i="16" s="1"/>
  <c r="AR54" i="16"/>
  <c r="AE54" i="16"/>
  <c r="AC54" i="16"/>
  <c r="AP53" i="16"/>
  <c r="AW53" i="16" s="1"/>
  <c r="AR53" i="16"/>
  <c r="AE53" i="16"/>
  <c r="AC53" i="16"/>
  <c r="AP52" i="16"/>
  <c r="AW52" i="16" s="1"/>
  <c r="AR52" i="16"/>
  <c r="AE52" i="16"/>
  <c r="AC52" i="16"/>
  <c r="AP51" i="16"/>
  <c r="AW51" i="16" s="1"/>
  <c r="AR51" i="16"/>
  <c r="AE51" i="16"/>
  <c r="AC51" i="16"/>
  <c r="AJ51" i="16" s="1"/>
  <c r="AP50" i="16"/>
  <c r="AW50" i="16" s="1"/>
  <c r="AR50" i="16"/>
  <c r="AE50" i="16"/>
  <c r="AC50" i="16"/>
  <c r="AP49" i="16"/>
  <c r="AW49" i="16" s="1"/>
  <c r="AR49" i="16"/>
  <c r="AE49" i="16"/>
  <c r="AC49" i="16"/>
  <c r="AP48" i="16"/>
  <c r="AW48" i="16" s="1"/>
  <c r="AR48" i="16"/>
  <c r="AE48" i="16"/>
  <c r="AC48" i="16"/>
  <c r="AP47" i="16"/>
  <c r="AW47" i="16" s="1"/>
  <c r="AR47" i="16"/>
  <c r="AE47" i="16"/>
  <c r="AC47" i="16"/>
  <c r="AP46" i="16"/>
  <c r="AW46" i="16" s="1"/>
  <c r="AR46" i="16"/>
  <c r="AE46" i="16"/>
  <c r="AC46" i="16"/>
  <c r="AP45" i="16"/>
  <c r="AW45" i="16" s="1"/>
  <c r="AR45" i="16"/>
  <c r="AE45" i="16"/>
  <c r="AC45" i="16"/>
  <c r="AP44" i="16"/>
  <c r="AW44" i="16" s="1"/>
  <c r="AR44" i="16"/>
  <c r="AE44" i="16"/>
  <c r="AC44" i="16"/>
  <c r="AP43" i="16"/>
  <c r="AW43" i="16" s="1"/>
  <c r="AR43" i="16"/>
  <c r="AE43" i="16"/>
  <c r="AC43" i="16"/>
  <c r="AP42" i="16"/>
  <c r="AW42" i="16" s="1"/>
  <c r="AR42" i="16"/>
  <c r="AE42" i="16"/>
  <c r="AC42" i="16"/>
  <c r="AP41" i="16"/>
  <c r="AW41" i="16" s="1"/>
  <c r="AR41" i="16"/>
  <c r="AE41" i="16"/>
  <c r="AC41" i="16"/>
  <c r="AP40" i="16"/>
  <c r="AW40" i="16" s="1"/>
  <c r="AR40" i="16"/>
  <c r="AE40" i="16"/>
  <c r="AC40" i="16"/>
  <c r="AP39" i="16"/>
  <c r="AW39" i="16" s="1"/>
  <c r="AR39" i="16"/>
  <c r="AE39" i="16"/>
  <c r="AC39" i="16"/>
  <c r="AJ39" i="16" s="1"/>
  <c r="AP38" i="16"/>
  <c r="AW38" i="16" s="1"/>
  <c r="AR38" i="16"/>
  <c r="AE38" i="16"/>
  <c r="AC38" i="16"/>
  <c r="AP37" i="16"/>
  <c r="AW37" i="16" s="1"/>
  <c r="AR37" i="16"/>
  <c r="AE37" i="16"/>
  <c r="AC37" i="16"/>
  <c r="AP36" i="16"/>
  <c r="AW36" i="16" s="1"/>
  <c r="AR36" i="16"/>
  <c r="AE36" i="16"/>
  <c r="AC36" i="16"/>
  <c r="AP35" i="16"/>
  <c r="AW35" i="16" s="1"/>
  <c r="AR35" i="16"/>
  <c r="AE35" i="16"/>
  <c r="AC35" i="16"/>
  <c r="AP34" i="16"/>
  <c r="AW34" i="16" s="1"/>
  <c r="AR34" i="16"/>
  <c r="AE34" i="16"/>
  <c r="AC34" i="16"/>
  <c r="AP33" i="16"/>
  <c r="AW33" i="16" s="1"/>
  <c r="AR33" i="16"/>
  <c r="AE33" i="16"/>
  <c r="AC33" i="16"/>
  <c r="AJ33" i="16" s="1"/>
  <c r="AP32" i="16"/>
  <c r="AW32" i="16" s="1"/>
  <c r="AR32" i="16"/>
  <c r="AE32" i="16"/>
  <c r="AC32" i="16"/>
  <c r="AP31" i="16"/>
  <c r="AW31" i="16" s="1"/>
  <c r="AR31" i="16"/>
  <c r="AE31" i="16"/>
  <c r="AC31" i="16"/>
  <c r="AJ31" i="16" s="1"/>
  <c r="AP30" i="16"/>
  <c r="AW30" i="16" s="1"/>
  <c r="AR30" i="16"/>
  <c r="AE30" i="16"/>
  <c r="AC30" i="16"/>
  <c r="AP29" i="16"/>
  <c r="AW29" i="16" s="1"/>
  <c r="AR29" i="16"/>
  <c r="AE29" i="16"/>
  <c r="AC29" i="16"/>
  <c r="AP28" i="16"/>
  <c r="AW28" i="16" s="1"/>
  <c r="AR28" i="16"/>
  <c r="AE28" i="16"/>
  <c r="AC28" i="16"/>
  <c r="AJ28" i="16" s="1"/>
  <c r="AP27" i="16"/>
  <c r="AW27" i="16" s="1"/>
  <c r="AR27" i="16"/>
  <c r="AE27" i="16"/>
  <c r="AC27" i="16"/>
  <c r="AP26" i="16"/>
  <c r="AW26" i="16" s="1"/>
  <c r="AR26" i="16"/>
  <c r="AE26" i="16"/>
  <c r="AC26" i="16"/>
  <c r="AJ26" i="16" s="1"/>
  <c r="AP25" i="16"/>
  <c r="AW25" i="16" s="1"/>
  <c r="AR25" i="16"/>
  <c r="AE25" i="16"/>
  <c r="AC25" i="16"/>
  <c r="AJ25" i="16" s="1"/>
  <c r="AP24" i="16"/>
  <c r="AW24" i="16" s="1"/>
  <c r="AR24" i="16"/>
  <c r="AE24" i="16"/>
  <c r="AC24" i="16"/>
  <c r="AP23" i="16"/>
  <c r="AW23" i="16" s="1"/>
  <c r="AR23" i="16"/>
  <c r="AE23" i="16"/>
  <c r="AC23" i="16"/>
  <c r="AJ23" i="16" s="1"/>
  <c r="AP22" i="16"/>
  <c r="AW22" i="16" s="1"/>
  <c r="AR22" i="16"/>
  <c r="AE22" i="16"/>
  <c r="AC22" i="16"/>
  <c r="AJ22" i="16" s="1"/>
  <c r="AP21" i="16"/>
  <c r="AW21" i="16" s="1"/>
  <c r="AR21" i="16"/>
  <c r="AE21" i="16"/>
  <c r="AC21" i="16"/>
  <c r="AP20" i="16"/>
  <c r="AW20" i="16" s="1"/>
  <c r="AR20" i="16"/>
  <c r="AE20" i="16"/>
  <c r="AC20" i="16"/>
  <c r="AP19" i="16"/>
  <c r="AW19" i="16" s="1"/>
  <c r="AR19" i="16"/>
  <c r="AE19" i="16"/>
  <c r="AC19" i="16"/>
  <c r="AP18" i="16"/>
  <c r="AW18" i="16" s="1"/>
  <c r="AR18" i="16"/>
  <c r="AE18" i="16"/>
  <c r="AC18" i="16"/>
  <c r="AP17" i="16"/>
  <c r="AW17" i="16" s="1"/>
  <c r="AR17" i="16"/>
  <c r="AE17" i="16"/>
  <c r="AC17" i="16"/>
  <c r="AP16" i="16"/>
  <c r="AW16" i="16" s="1"/>
  <c r="AR16" i="16"/>
  <c r="AE16" i="16"/>
  <c r="AC16" i="16"/>
  <c r="AP15" i="16"/>
  <c r="AW15" i="16" s="1"/>
  <c r="AR15" i="16"/>
  <c r="AE15" i="16"/>
  <c r="AC15" i="16"/>
  <c r="AP14" i="16"/>
  <c r="AW14" i="16" s="1"/>
  <c r="AR14" i="16"/>
  <c r="AE14" i="16"/>
  <c r="AC14" i="16"/>
  <c r="AP13" i="16"/>
  <c r="AW13" i="16" s="1"/>
  <c r="AR13" i="16"/>
  <c r="AE13" i="16"/>
  <c r="AC13" i="16"/>
  <c r="AP12" i="16"/>
  <c r="AW12" i="16" s="1"/>
  <c r="AR12" i="16"/>
  <c r="AE12" i="16"/>
  <c r="AC12" i="16"/>
  <c r="AP11" i="16"/>
  <c r="AW11" i="16" s="1"/>
  <c r="AR11" i="16"/>
  <c r="AE11" i="16"/>
  <c r="AC11" i="16"/>
  <c r="AP10" i="16"/>
  <c r="AW10" i="16" s="1"/>
  <c r="AR10" i="16"/>
  <c r="AE10" i="16"/>
  <c r="AC10" i="16"/>
  <c r="AJ10" i="16" s="1"/>
  <c r="AP9" i="16"/>
  <c r="AW9" i="16" s="1"/>
  <c r="AR9" i="16"/>
  <c r="AE9" i="16"/>
  <c r="AC9" i="16"/>
  <c r="AJ9" i="16" s="1"/>
  <c r="AP8" i="16"/>
  <c r="AW8" i="16" s="1"/>
  <c r="AR8" i="16"/>
  <c r="AE8" i="16"/>
  <c r="AC8" i="16"/>
  <c r="AJ8" i="16" s="1"/>
  <c r="AP7" i="16"/>
  <c r="AW7" i="16" s="1"/>
  <c r="AR7" i="16"/>
  <c r="AE7" i="16"/>
  <c r="AC7" i="16"/>
  <c r="V116" i="16"/>
  <c r="K9" i="16" s="1"/>
  <c r="W116" i="16"/>
  <c r="X116" i="16"/>
  <c r="K10" i="16" s="1"/>
  <c r="Y116" i="16"/>
  <c r="K11" i="16" s="1"/>
  <c r="Z116" i="16"/>
  <c r="K12" i="16" s="1"/>
  <c r="R34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5" i="17"/>
  <c r="CT116" i="16" l="1"/>
  <c r="D34" i="16" s="1"/>
  <c r="H34" i="16" s="1"/>
  <c r="CP116" i="16"/>
  <c r="D33" i="16" s="1"/>
  <c r="CE7" i="16"/>
  <c r="CE9" i="16"/>
  <c r="CE11" i="16"/>
  <c r="CE13" i="16"/>
  <c r="CE15" i="16"/>
  <c r="CE17" i="16"/>
  <c r="CE19" i="16"/>
  <c r="CE21" i="16"/>
  <c r="CE23" i="16"/>
  <c r="CE25" i="16"/>
  <c r="CE27" i="16"/>
  <c r="CE29" i="16"/>
  <c r="CE31" i="16"/>
  <c r="CE33" i="16"/>
  <c r="CE35" i="16"/>
  <c r="CE37" i="16"/>
  <c r="CE39" i="16"/>
  <c r="CE41" i="16"/>
  <c r="CE43" i="16"/>
  <c r="CE45" i="16"/>
  <c r="CE47" i="16"/>
  <c r="CE49" i="16"/>
  <c r="CE51" i="16"/>
  <c r="CE53" i="16"/>
  <c r="CE55" i="16"/>
  <c r="CE57" i="16"/>
  <c r="CE59" i="16"/>
  <c r="CE61" i="16"/>
  <c r="CE63" i="16"/>
  <c r="CE65" i="16"/>
  <c r="CE67" i="16"/>
  <c r="CE69" i="16"/>
  <c r="CE71" i="16"/>
  <c r="CE73" i="16"/>
  <c r="CE75" i="16"/>
  <c r="CE77" i="16"/>
  <c r="CE79" i="16"/>
  <c r="CE81" i="16"/>
  <c r="CE89" i="16"/>
  <c r="CE91" i="16"/>
  <c r="CE93" i="16"/>
  <c r="CE95" i="16"/>
  <c r="CE97" i="16"/>
  <c r="CE99" i="16"/>
  <c r="CE101" i="16"/>
  <c r="CE103" i="16"/>
  <c r="CE105" i="16"/>
  <c r="CE109" i="16"/>
  <c r="CE111" i="16"/>
  <c r="CE113" i="16"/>
  <c r="CE115" i="16"/>
  <c r="CD8" i="16"/>
  <c r="CD10" i="16"/>
  <c r="CD12" i="16"/>
  <c r="CD14" i="16"/>
  <c r="CD16" i="16"/>
  <c r="CD18" i="16"/>
  <c r="CD20" i="16"/>
  <c r="CD22" i="16"/>
  <c r="CD24" i="16"/>
  <c r="CD26" i="16"/>
  <c r="CD28" i="16"/>
  <c r="CD30" i="16"/>
  <c r="CD32" i="16"/>
  <c r="CD34" i="16"/>
  <c r="CD36" i="16"/>
  <c r="CD38" i="16"/>
  <c r="CD40" i="16"/>
  <c r="CD42" i="16"/>
  <c r="CD44" i="16"/>
  <c r="CD46" i="16"/>
  <c r="CD48" i="16"/>
  <c r="CD50" i="16"/>
  <c r="CD52" i="16"/>
  <c r="CD54" i="16"/>
  <c r="CD56" i="16"/>
  <c r="CD58" i="16"/>
  <c r="CD60" i="16"/>
  <c r="CD62" i="16"/>
  <c r="CD64" i="16"/>
  <c r="CD66" i="16"/>
  <c r="CD68" i="16"/>
  <c r="CD70" i="16"/>
  <c r="CD72" i="16"/>
  <c r="CD74" i="16"/>
  <c r="CD76" i="16"/>
  <c r="CD78" i="16"/>
  <c r="CD80" i="16"/>
  <c r="CD82" i="16"/>
  <c r="CD83" i="16"/>
  <c r="CD85" i="16"/>
  <c r="CD87" i="16"/>
  <c r="CD88" i="16"/>
  <c r="CD90" i="16"/>
  <c r="CD92" i="16"/>
  <c r="CD94" i="16"/>
  <c r="CD96" i="16"/>
  <c r="CD98" i="16"/>
  <c r="CD100" i="16"/>
  <c r="CD102" i="16"/>
  <c r="CD104" i="16"/>
  <c r="CD106" i="16"/>
  <c r="CD108" i="16"/>
  <c r="CD110" i="16"/>
  <c r="CD112" i="16"/>
  <c r="CD114" i="16"/>
  <c r="CD6" i="16"/>
  <c r="CC7" i="16"/>
  <c r="CC8" i="16"/>
  <c r="CC9" i="16"/>
  <c r="CC10" i="16"/>
  <c r="CC11" i="16"/>
  <c r="CC12" i="16"/>
  <c r="CC13" i="16"/>
  <c r="CC14" i="16"/>
  <c r="CC15" i="16"/>
  <c r="CC16" i="16"/>
  <c r="CC17" i="16"/>
  <c r="CC18" i="16"/>
  <c r="CC19" i="16"/>
  <c r="CC20" i="16"/>
  <c r="CC21" i="16"/>
  <c r="CC22" i="16"/>
  <c r="CC23" i="16"/>
  <c r="CC24" i="16"/>
  <c r="CC25" i="16"/>
  <c r="CC26" i="16"/>
  <c r="CC27" i="16"/>
  <c r="CC28" i="16"/>
  <c r="CC29" i="16"/>
  <c r="CC30" i="16"/>
  <c r="CC31" i="16"/>
  <c r="CC32" i="16"/>
  <c r="CC33" i="16"/>
  <c r="CC34" i="16"/>
  <c r="CC35" i="16"/>
  <c r="CC36" i="16"/>
  <c r="CC37" i="16"/>
  <c r="CC38" i="16"/>
  <c r="CC39" i="16"/>
  <c r="CC40" i="16"/>
  <c r="CC41" i="16"/>
  <c r="CC42" i="16"/>
  <c r="CC43" i="16"/>
  <c r="CC44" i="16"/>
  <c r="CC45" i="16"/>
  <c r="CC46" i="16"/>
  <c r="CC47" i="16"/>
  <c r="CC49" i="16"/>
  <c r="CC52" i="16"/>
  <c r="CC54" i="16"/>
  <c r="CC56" i="16"/>
  <c r="CC58" i="16"/>
  <c r="CC60" i="16"/>
  <c r="CC62" i="16"/>
  <c r="CC64" i="16"/>
  <c r="CC66" i="16"/>
  <c r="CC68" i="16"/>
  <c r="CC70" i="16"/>
  <c r="CC72" i="16"/>
  <c r="CC74" i="16"/>
  <c r="CC76" i="16"/>
  <c r="CC78" i="16"/>
  <c r="CC80" i="16"/>
  <c r="CC82" i="16"/>
  <c r="CC87" i="16"/>
  <c r="CC96" i="16"/>
  <c r="CC98" i="16"/>
  <c r="CC100" i="16"/>
  <c r="CC102" i="16"/>
  <c r="CC104" i="16"/>
  <c r="CC108" i="16"/>
  <c r="CF116" i="16"/>
  <c r="F22" i="16" s="1"/>
  <c r="CG116" i="16"/>
  <c r="G22" i="16" s="1"/>
  <c r="DC116" i="16"/>
  <c r="I49" i="16" s="1"/>
  <c r="CE83" i="16"/>
  <c r="CE85" i="16"/>
  <c r="CE87" i="16"/>
  <c r="CC84" i="16"/>
  <c r="CC86" i="16"/>
  <c r="CC107" i="16"/>
  <c r="CC110" i="16"/>
  <c r="CC112" i="16"/>
  <c r="CC114" i="16"/>
  <c r="CC6" i="16"/>
  <c r="J13" i="16"/>
  <c r="DF7" i="16"/>
  <c r="DE7" i="16"/>
  <c r="DE8" i="16"/>
  <c r="DF8" i="16"/>
  <c r="DE9" i="16"/>
  <c r="DF9" i="16"/>
  <c r="DF10" i="16"/>
  <c r="DE10" i="16"/>
  <c r="DF11" i="16"/>
  <c r="DE11" i="16"/>
  <c r="DE12" i="16"/>
  <c r="DF12" i="16"/>
  <c r="DE13" i="16"/>
  <c r="DF13" i="16"/>
  <c r="DF14" i="16"/>
  <c r="DE14" i="16"/>
  <c r="DF15" i="16"/>
  <c r="DE15" i="16"/>
  <c r="DE16" i="16"/>
  <c r="DF16" i="16"/>
  <c r="DE17" i="16"/>
  <c r="DF17" i="16"/>
  <c r="DF18" i="16"/>
  <c r="DE18" i="16"/>
  <c r="DF19" i="16"/>
  <c r="DE19" i="16"/>
  <c r="DE20" i="16"/>
  <c r="DF20" i="16"/>
  <c r="DE21" i="16"/>
  <c r="DF21" i="16"/>
  <c r="DF22" i="16"/>
  <c r="DE22" i="16"/>
  <c r="DF23" i="16"/>
  <c r="DE23" i="16"/>
  <c r="DE24" i="16"/>
  <c r="DF24" i="16"/>
  <c r="DE25" i="16"/>
  <c r="DF25" i="16"/>
  <c r="DF26" i="16"/>
  <c r="DE26" i="16"/>
  <c r="DF27" i="16"/>
  <c r="DE27" i="16"/>
  <c r="DE28" i="16"/>
  <c r="DF28" i="16"/>
  <c r="DE29" i="16"/>
  <c r="DF29" i="16"/>
  <c r="DF30" i="16"/>
  <c r="DE30" i="16"/>
  <c r="DF31" i="16"/>
  <c r="DE31" i="16"/>
  <c r="DE32" i="16"/>
  <c r="DF32" i="16"/>
  <c r="DE33" i="16"/>
  <c r="DF33" i="16"/>
  <c r="DF34" i="16"/>
  <c r="DE34" i="16"/>
  <c r="DF35" i="16"/>
  <c r="DE35" i="16"/>
  <c r="DE36" i="16"/>
  <c r="DF36" i="16"/>
  <c r="DE37" i="16"/>
  <c r="DF37" i="16"/>
  <c r="DF38" i="16"/>
  <c r="DE38" i="16"/>
  <c r="DF39" i="16"/>
  <c r="DE39" i="16"/>
  <c r="DE40" i="16"/>
  <c r="DF40" i="16"/>
  <c r="DE41" i="16"/>
  <c r="DF41" i="16"/>
  <c r="DF42" i="16"/>
  <c r="DE42" i="16"/>
  <c r="DF43" i="16"/>
  <c r="DE43" i="16"/>
  <c r="DE44" i="16"/>
  <c r="DF44" i="16"/>
  <c r="DE45" i="16"/>
  <c r="DF45" i="16"/>
  <c r="DF46" i="16"/>
  <c r="DE46" i="16"/>
  <c r="DF47" i="16"/>
  <c r="DE47" i="16"/>
  <c r="DE48" i="16"/>
  <c r="DF48" i="16"/>
  <c r="DE49" i="16"/>
  <c r="DF49" i="16"/>
  <c r="DF50" i="16"/>
  <c r="DE50" i="16"/>
  <c r="DF51" i="16"/>
  <c r="DE51" i="16"/>
  <c r="DE52" i="16"/>
  <c r="DF52" i="16"/>
  <c r="DE53" i="16"/>
  <c r="DF53" i="16"/>
  <c r="DF54" i="16"/>
  <c r="DE54" i="16"/>
  <c r="DF55" i="16"/>
  <c r="DE55" i="16"/>
  <c r="DE56" i="16"/>
  <c r="DF56" i="16"/>
  <c r="DE57" i="16"/>
  <c r="DF57" i="16"/>
  <c r="DF58" i="16"/>
  <c r="DE58" i="16"/>
  <c r="DF59" i="16"/>
  <c r="DE59" i="16"/>
  <c r="DE60" i="16"/>
  <c r="DF60" i="16"/>
  <c r="DE61" i="16"/>
  <c r="DF61" i="16"/>
  <c r="DF62" i="16"/>
  <c r="DE62" i="16"/>
  <c r="DF63" i="16"/>
  <c r="DE63" i="16"/>
  <c r="DE64" i="16"/>
  <c r="DF64" i="16"/>
  <c r="DE65" i="16"/>
  <c r="DF65" i="16"/>
  <c r="DF66" i="16"/>
  <c r="DE66" i="16"/>
  <c r="DF67" i="16"/>
  <c r="DE67" i="16"/>
  <c r="DE68" i="16"/>
  <c r="DF68" i="16"/>
  <c r="DE69" i="16"/>
  <c r="DF69" i="16"/>
  <c r="DF70" i="16"/>
  <c r="DE70" i="16"/>
  <c r="DF71" i="16"/>
  <c r="DE71" i="16"/>
  <c r="DE72" i="16"/>
  <c r="DF72" i="16"/>
  <c r="DE73" i="16"/>
  <c r="DF73" i="16"/>
  <c r="DF74" i="16"/>
  <c r="DE74" i="16"/>
  <c r="DF75" i="16"/>
  <c r="DE75" i="16"/>
  <c r="DE76" i="16"/>
  <c r="DF76" i="16"/>
  <c r="DE77" i="16"/>
  <c r="DF77" i="16"/>
  <c r="DF78" i="16"/>
  <c r="DE78" i="16"/>
  <c r="DF79" i="16"/>
  <c r="DE79" i="16"/>
  <c r="DE80" i="16"/>
  <c r="DF80" i="16"/>
  <c r="DE81" i="16"/>
  <c r="DF81" i="16"/>
  <c r="DF82" i="16"/>
  <c r="DE82" i="16"/>
  <c r="DF83" i="16"/>
  <c r="DE83" i="16"/>
  <c r="DE84" i="16"/>
  <c r="DF84" i="16"/>
  <c r="DE85" i="16"/>
  <c r="DF85" i="16"/>
  <c r="DF86" i="16"/>
  <c r="DE86" i="16"/>
  <c r="DF87" i="16"/>
  <c r="DE87" i="16"/>
  <c r="DE88" i="16"/>
  <c r="DF88" i="16"/>
  <c r="DE89" i="16"/>
  <c r="DF89" i="16"/>
  <c r="DF90" i="16"/>
  <c r="DE90" i="16"/>
  <c r="DF91" i="16"/>
  <c r="DE91" i="16"/>
  <c r="DE92" i="16"/>
  <c r="DF92" i="16"/>
  <c r="DE93" i="16"/>
  <c r="DF93" i="16"/>
  <c r="DF94" i="16"/>
  <c r="DE94" i="16"/>
  <c r="DF95" i="16"/>
  <c r="DE95" i="16"/>
  <c r="DE96" i="16"/>
  <c r="DF96" i="16"/>
  <c r="DE97" i="16"/>
  <c r="DF97" i="16"/>
  <c r="DF98" i="16"/>
  <c r="DE98" i="16"/>
  <c r="DF99" i="16"/>
  <c r="DE99" i="16"/>
  <c r="DE100" i="16"/>
  <c r="DF100" i="16"/>
  <c r="DE101" i="16"/>
  <c r="DF101" i="16"/>
  <c r="DF102" i="16"/>
  <c r="DE102" i="16"/>
  <c r="DF103" i="16"/>
  <c r="DE103" i="16"/>
  <c r="DE104" i="16"/>
  <c r="DF104" i="16"/>
  <c r="DE105" i="16"/>
  <c r="DF105" i="16"/>
  <c r="DF106" i="16"/>
  <c r="DE106" i="16"/>
  <c r="DF107" i="16"/>
  <c r="DE107" i="16"/>
  <c r="DE108" i="16"/>
  <c r="DF108" i="16"/>
  <c r="DE109" i="16"/>
  <c r="DF109" i="16"/>
  <c r="DF110" i="16"/>
  <c r="DE110" i="16"/>
  <c r="DF111" i="16"/>
  <c r="DE111" i="16"/>
  <c r="DE112" i="16"/>
  <c r="DF112" i="16"/>
  <c r="DE113" i="16"/>
  <c r="DF113" i="16"/>
  <c r="DF114" i="16"/>
  <c r="DE114" i="16"/>
  <c r="DF115" i="16"/>
  <c r="DE115" i="16"/>
  <c r="CK7" i="16"/>
  <c r="AJ7" i="16"/>
  <c r="AK7" i="16" s="1"/>
  <c r="AL7" i="16" s="1"/>
  <c r="CK11" i="16"/>
  <c r="AJ11" i="16"/>
  <c r="AK11" i="16" s="1"/>
  <c r="AL11" i="16" s="1"/>
  <c r="CK12" i="16"/>
  <c r="AJ12" i="16"/>
  <c r="AK12" i="16" s="1"/>
  <c r="AL12" i="16" s="1"/>
  <c r="CK13" i="16"/>
  <c r="AJ13" i="16"/>
  <c r="CK14" i="16"/>
  <c r="AJ14" i="16"/>
  <c r="AK14" i="16" s="1"/>
  <c r="AL14" i="16" s="1"/>
  <c r="CK15" i="16"/>
  <c r="AJ15" i="16"/>
  <c r="AK15" i="16" s="1"/>
  <c r="AL15" i="16" s="1"/>
  <c r="CK16" i="16"/>
  <c r="AJ16" i="16"/>
  <c r="AK16" i="16" s="1"/>
  <c r="AL16" i="16" s="1"/>
  <c r="CK17" i="16"/>
  <c r="AJ17" i="16"/>
  <c r="AK17" i="16" s="1"/>
  <c r="AL17" i="16" s="1"/>
  <c r="CK18" i="16"/>
  <c r="AJ18" i="16"/>
  <c r="AK18" i="16" s="1"/>
  <c r="AL18" i="16" s="1"/>
  <c r="CK19" i="16"/>
  <c r="AJ19" i="16"/>
  <c r="AK19" i="16" s="1"/>
  <c r="AL19" i="16" s="1"/>
  <c r="CK20" i="16"/>
  <c r="AJ20" i="16"/>
  <c r="AK20" i="16" s="1"/>
  <c r="AL20" i="16" s="1"/>
  <c r="CK21" i="16"/>
  <c r="AJ21" i="16"/>
  <c r="AK21" i="16" s="1"/>
  <c r="AL21" i="16" s="1"/>
  <c r="CK24" i="16"/>
  <c r="AJ24" i="16"/>
  <c r="AK24" i="16" s="1"/>
  <c r="AL24" i="16" s="1"/>
  <c r="CK27" i="16"/>
  <c r="AJ27" i="16"/>
  <c r="AK27" i="16" s="1"/>
  <c r="AL27" i="16" s="1"/>
  <c r="CK29" i="16"/>
  <c r="AJ29" i="16"/>
  <c r="AK29" i="16" s="1"/>
  <c r="AL29" i="16" s="1"/>
  <c r="CK30" i="16"/>
  <c r="AJ30" i="16"/>
  <c r="AK30" i="16" s="1"/>
  <c r="AL30" i="16" s="1"/>
  <c r="CK32" i="16"/>
  <c r="AJ32" i="16"/>
  <c r="AK32" i="16" s="1"/>
  <c r="AL32" i="16" s="1"/>
  <c r="CK34" i="16"/>
  <c r="AJ34" i="16"/>
  <c r="AK34" i="16" s="1"/>
  <c r="AL34" i="16" s="1"/>
  <c r="CK35" i="16"/>
  <c r="AJ35" i="16"/>
  <c r="AK35" i="16" s="1"/>
  <c r="AL35" i="16" s="1"/>
  <c r="CK36" i="16"/>
  <c r="AJ36" i="16"/>
  <c r="CK37" i="16"/>
  <c r="AJ37" i="16"/>
  <c r="AK37" i="16" s="1"/>
  <c r="AL37" i="16" s="1"/>
  <c r="CK38" i="16"/>
  <c r="AJ38" i="16"/>
  <c r="AK38" i="16" s="1"/>
  <c r="AL38" i="16" s="1"/>
  <c r="CK40" i="16"/>
  <c r="AJ40" i="16"/>
  <c r="AK40" i="16" s="1"/>
  <c r="AL40" i="16" s="1"/>
  <c r="CK41" i="16"/>
  <c r="AJ41" i="16"/>
  <c r="AK41" i="16" s="1"/>
  <c r="AL41" i="16" s="1"/>
  <c r="CK42" i="16"/>
  <c r="AJ42" i="16"/>
  <c r="AK42" i="16" s="1"/>
  <c r="AL42" i="16" s="1"/>
  <c r="CK43" i="16"/>
  <c r="AJ43" i="16"/>
  <c r="AK43" i="16" s="1"/>
  <c r="AL43" i="16" s="1"/>
  <c r="CK44" i="16"/>
  <c r="AJ44" i="16"/>
  <c r="AK44" i="16" s="1"/>
  <c r="AL44" i="16" s="1"/>
  <c r="CK45" i="16"/>
  <c r="AJ45" i="16"/>
  <c r="AK45" i="16" s="1"/>
  <c r="AL45" i="16" s="1"/>
  <c r="CK46" i="16"/>
  <c r="AJ46" i="16"/>
  <c r="AK46" i="16" s="1"/>
  <c r="AL46" i="16" s="1"/>
  <c r="CK47" i="16"/>
  <c r="AJ47" i="16"/>
  <c r="AK47" i="16" s="1"/>
  <c r="AL47" i="16" s="1"/>
  <c r="CK48" i="16"/>
  <c r="AJ48" i="16"/>
  <c r="AK48" i="16" s="1"/>
  <c r="AL48" i="16" s="1"/>
  <c r="CK49" i="16"/>
  <c r="AJ49" i="16"/>
  <c r="AK49" i="16" s="1"/>
  <c r="AL49" i="16" s="1"/>
  <c r="CK50" i="16"/>
  <c r="AJ50" i="16"/>
  <c r="AK50" i="16" s="1"/>
  <c r="AL50" i="16" s="1"/>
  <c r="CK52" i="16"/>
  <c r="AJ52" i="16"/>
  <c r="AK52" i="16" s="1"/>
  <c r="AL52" i="16" s="1"/>
  <c r="CK53" i="16"/>
  <c r="AJ53" i="16"/>
  <c r="AK53" i="16" s="1"/>
  <c r="AL53" i="16" s="1"/>
  <c r="CK54" i="16"/>
  <c r="AJ54" i="16"/>
  <c r="CK55" i="16"/>
  <c r="AJ55" i="16"/>
  <c r="AK55" i="16" s="1"/>
  <c r="AL55" i="16" s="1"/>
  <c r="CK56" i="16"/>
  <c r="AJ56" i="16"/>
  <c r="AK56" i="16" s="1"/>
  <c r="AL56" i="16" s="1"/>
  <c r="CK57" i="16"/>
  <c r="AJ57" i="16"/>
  <c r="AK57" i="16" s="1"/>
  <c r="AL57" i="16" s="1"/>
  <c r="CK58" i="16"/>
  <c r="AJ58" i="16"/>
  <c r="CK59" i="16"/>
  <c r="AJ59" i="16"/>
  <c r="AK59" i="16" s="1"/>
  <c r="AL59" i="16" s="1"/>
  <c r="CK60" i="16"/>
  <c r="AJ60" i="16"/>
  <c r="AK60" i="16" s="1"/>
  <c r="AL60" i="16" s="1"/>
  <c r="CK61" i="16"/>
  <c r="AJ61" i="16"/>
  <c r="AK61" i="16" s="1"/>
  <c r="AL61" i="16" s="1"/>
  <c r="CK62" i="16"/>
  <c r="AJ62" i="16"/>
  <c r="AK62" i="16" s="1"/>
  <c r="AL62" i="16" s="1"/>
  <c r="CK63" i="16"/>
  <c r="AJ63" i="16"/>
  <c r="AK63" i="16" s="1"/>
  <c r="AL63" i="16" s="1"/>
  <c r="CK64" i="16"/>
  <c r="AJ64" i="16"/>
  <c r="AK64" i="16" s="1"/>
  <c r="AL64" i="16" s="1"/>
  <c r="CK65" i="16"/>
  <c r="AJ65" i="16"/>
  <c r="AK65" i="16" s="1"/>
  <c r="AL65" i="16" s="1"/>
  <c r="CK66" i="16"/>
  <c r="AJ66" i="16"/>
  <c r="AK66" i="16" s="1"/>
  <c r="AL66" i="16" s="1"/>
  <c r="CK67" i="16"/>
  <c r="AJ67" i="16"/>
  <c r="AK67" i="16" s="1"/>
  <c r="AL67" i="16" s="1"/>
  <c r="CK68" i="16"/>
  <c r="AJ68" i="16"/>
  <c r="AK68" i="16" s="1"/>
  <c r="AL68" i="16" s="1"/>
  <c r="CK69" i="16"/>
  <c r="AJ69" i="16"/>
  <c r="AK69" i="16" s="1"/>
  <c r="AL69" i="16" s="1"/>
  <c r="CK70" i="16"/>
  <c r="AJ70" i="16"/>
  <c r="AK70" i="16" s="1"/>
  <c r="AL70" i="16" s="1"/>
  <c r="CK71" i="16"/>
  <c r="AJ71" i="16"/>
  <c r="AK71" i="16" s="1"/>
  <c r="AL71" i="16" s="1"/>
  <c r="CK72" i="16"/>
  <c r="AJ72" i="16"/>
  <c r="AK72" i="16" s="1"/>
  <c r="AL72" i="16" s="1"/>
  <c r="CK73" i="16"/>
  <c r="AJ73" i="16"/>
  <c r="AK73" i="16" s="1"/>
  <c r="AL73" i="16" s="1"/>
  <c r="CK74" i="16"/>
  <c r="AJ74" i="16"/>
  <c r="CK75" i="16"/>
  <c r="AJ75" i="16"/>
  <c r="AK75" i="16" s="1"/>
  <c r="AL75" i="16" s="1"/>
  <c r="CK77" i="16"/>
  <c r="AJ77" i="16"/>
  <c r="AK77" i="16" s="1"/>
  <c r="AL77" i="16" s="1"/>
  <c r="CK79" i="16"/>
  <c r="AJ79" i="16"/>
  <c r="AK79" i="16" s="1"/>
  <c r="AL79" i="16" s="1"/>
  <c r="CK80" i="16"/>
  <c r="AJ80" i="16"/>
  <c r="AK80" i="16" s="1"/>
  <c r="AL80" i="16" s="1"/>
  <c r="CK81" i="16"/>
  <c r="AJ81" i="16"/>
  <c r="AK81" i="16" s="1"/>
  <c r="AL81" i="16" s="1"/>
  <c r="CK89" i="16"/>
  <c r="AJ89" i="16"/>
  <c r="AK89" i="16" s="1"/>
  <c r="AL89" i="16" s="1"/>
  <c r="CK90" i="16"/>
  <c r="AJ90" i="16"/>
  <c r="AK90" i="16" s="1"/>
  <c r="AL90" i="16" s="1"/>
  <c r="CK96" i="16"/>
  <c r="AJ96" i="16"/>
  <c r="AK96" i="16" s="1"/>
  <c r="AL96" i="16" s="1"/>
  <c r="CK99" i="16"/>
  <c r="AJ99" i="16"/>
  <c r="AK99" i="16" s="1"/>
  <c r="AL99" i="16" s="1"/>
  <c r="CK107" i="16"/>
  <c r="AJ107" i="16"/>
  <c r="AK107" i="16" s="1"/>
  <c r="AL107" i="16" s="1"/>
  <c r="CK108" i="16"/>
  <c r="AJ108" i="16"/>
  <c r="AK108" i="16" s="1"/>
  <c r="AL108" i="16" s="1"/>
  <c r="CK110" i="16"/>
  <c r="AJ110" i="16"/>
  <c r="AK110" i="16" s="1"/>
  <c r="AL110" i="16" s="1"/>
  <c r="CK112" i="16"/>
  <c r="AJ112" i="16"/>
  <c r="AK112" i="16" s="1"/>
  <c r="AL112" i="16" s="1"/>
  <c r="CK113" i="16"/>
  <c r="AJ113" i="16"/>
  <c r="AK113" i="16" s="1"/>
  <c r="AL113" i="16" s="1"/>
  <c r="CK114" i="16"/>
  <c r="AJ114" i="16"/>
  <c r="AK114" i="16" s="1"/>
  <c r="AL114" i="16" s="1"/>
  <c r="CE8" i="16"/>
  <c r="CE12" i="16"/>
  <c r="CE16" i="16"/>
  <c r="CE20" i="16"/>
  <c r="CE24" i="16"/>
  <c r="CE28" i="16"/>
  <c r="CE32" i="16"/>
  <c r="CE36" i="16"/>
  <c r="CE40" i="16"/>
  <c r="CE44" i="16"/>
  <c r="CE48" i="16"/>
  <c r="CE52" i="16"/>
  <c r="CE56" i="16"/>
  <c r="CE60" i="16"/>
  <c r="CE64" i="16"/>
  <c r="CE68" i="16"/>
  <c r="CE72" i="16"/>
  <c r="CE76" i="16"/>
  <c r="CE80" i="16"/>
  <c r="CE84" i="16"/>
  <c r="CE88" i="16"/>
  <c r="CE92" i="16"/>
  <c r="CE96" i="16"/>
  <c r="CE100" i="16"/>
  <c r="CE104" i="16"/>
  <c r="CE107" i="16"/>
  <c r="CE110" i="16"/>
  <c r="CE114" i="16"/>
  <c r="CD7" i="16"/>
  <c r="CD11" i="16"/>
  <c r="CD15" i="16"/>
  <c r="CD19" i="16"/>
  <c r="CD23" i="16"/>
  <c r="CD27" i="16"/>
  <c r="CD31" i="16"/>
  <c r="CD35" i="16"/>
  <c r="CD39" i="16"/>
  <c r="CD43" i="16"/>
  <c r="CD47" i="16"/>
  <c r="CD51" i="16"/>
  <c r="CD55" i="16"/>
  <c r="CD59" i="16"/>
  <c r="CD63" i="16"/>
  <c r="CD67" i="16"/>
  <c r="CD71" i="16"/>
  <c r="CD75" i="16"/>
  <c r="CD79" i="16"/>
  <c r="CD86" i="16"/>
  <c r="CD89" i="16"/>
  <c r="CD93" i="16"/>
  <c r="CD97" i="16"/>
  <c r="CD101" i="16"/>
  <c r="CD105" i="16"/>
  <c r="CD109" i="16"/>
  <c r="CD113" i="16"/>
  <c r="CC51" i="16"/>
  <c r="CC89" i="16"/>
  <c r="CC91" i="16"/>
  <c r="CC93" i="16"/>
  <c r="DE6" i="16"/>
  <c r="DF6" i="16"/>
  <c r="CC48" i="16"/>
  <c r="CC53" i="16"/>
  <c r="CC55" i="16"/>
  <c r="CC57" i="16"/>
  <c r="CC59" i="16"/>
  <c r="CC61" i="16"/>
  <c r="CC63" i="16"/>
  <c r="CC65" i="16"/>
  <c r="CC67" i="16"/>
  <c r="CC69" i="16"/>
  <c r="CC71" i="16"/>
  <c r="CC73" i="16"/>
  <c r="CC75" i="16"/>
  <c r="CC77" i="16"/>
  <c r="CC79" i="16"/>
  <c r="CC81" i="16"/>
  <c r="CC95" i="16"/>
  <c r="CC97" i="16"/>
  <c r="CC99" i="16"/>
  <c r="CC101" i="16"/>
  <c r="CC103" i="16"/>
  <c r="CC106" i="16"/>
  <c r="CC109" i="16"/>
  <c r="CE10" i="16"/>
  <c r="CE14" i="16"/>
  <c r="CE18" i="16"/>
  <c r="CE22" i="16"/>
  <c r="CE26" i="16"/>
  <c r="CE30" i="16"/>
  <c r="CE34" i="16"/>
  <c r="CE38" i="16"/>
  <c r="CE42" i="16"/>
  <c r="CE46" i="16"/>
  <c r="CE50" i="16"/>
  <c r="CE54" i="16"/>
  <c r="CE58" i="16"/>
  <c r="CE62" i="16"/>
  <c r="CE66" i="16"/>
  <c r="CE70" i="16"/>
  <c r="CE74" i="16"/>
  <c r="CE78" i="16"/>
  <c r="CE82" i="16"/>
  <c r="CE86" i="16"/>
  <c r="CE90" i="16"/>
  <c r="CE94" i="16"/>
  <c r="CE98" i="16"/>
  <c r="CE102" i="16"/>
  <c r="CE106" i="16"/>
  <c r="CE108" i="16"/>
  <c r="CE112" i="16"/>
  <c r="CE6" i="16"/>
  <c r="CD9" i="16"/>
  <c r="CD13" i="16"/>
  <c r="CD17" i="16"/>
  <c r="CD21" i="16"/>
  <c r="CD25" i="16"/>
  <c r="CD29" i="16"/>
  <c r="CD33" i="16"/>
  <c r="CD37" i="16"/>
  <c r="CD41" i="16"/>
  <c r="CD45" i="16"/>
  <c r="CD49" i="16"/>
  <c r="CD53" i="16"/>
  <c r="CD57" i="16"/>
  <c r="CD61" i="16"/>
  <c r="CD65" i="16"/>
  <c r="CD69" i="16"/>
  <c r="CD73" i="16"/>
  <c r="CD77" i="16"/>
  <c r="CD81" i="16"/>
  <c r="CD84" i="16"/>
  <c r="CD91" i="16"/>
  <c r="CD95" i="16"/>
  <c r="CD99" i="16"/>
  <c r="CD103" i="16"/>
  <c r="CD107" i="16"/>
  <c r="CD111" i="16"/>
  <c r="CD115" i="16"/>
  <c r="CC50" i="16"/>
  <c r="CC83" i="16"/>
  <c r="CC85" i="16"/>
  <c r="CC88" i="16"/>
  <c r="CC90" i="16"/>
  <c r="CC92" i="16"/>
  <c r="CC94" i="16"/>
  <c r="CC105" i="16"/>
  <c r="CC111" i="16"/>
  <c r="CC113" i="16"/>
  <c r="CC115" i="16"/>
  <c r="AS7" i="16"/>
  <c r="AX7" i="16"/>
  <c r="AY7" i="16" s="1"/>
  <c r="AS8" i="16"/>
  <c r="AX8" i="16"/>
  <c r="AY8" i="16" s="1"/>
  <c r="AS9" i="16"/>
  <c r="AX9" i="16"/>
  <c r="AY9" i="16" s="1"/>
  <c r="AS10" i="16"/>
  <c r="AX10" i="16"/>
  <c r="AY10" i="16" s="1"/>
  <c r="AS11" i="16"/>
  <c r="AX11" i="16"/>
  <c r="AY11" i="16" s="1"/>
  <c r="AS12" i="16"/>
  <c r="AX12" i="16"/>
  <c r="AY12" i="16" s="1"/>
  <c r="AS13" i="16"/>
  <c r="AX13" i="16"/>
  <c r="AY13" i="16" s="1"/>
  <c r="AS14" i="16"/>
  <c r="BF14" i="16"/>
  <c r="AS15" i="16"/>
  <c r="AX15" i="16"/>
  <c r="AY15" i="16" s="1"/>
  <c r="AS16" i="16"/>
  <c r="AX16" i="16"/>
  <c r="AY16" i="16" s="1"/>
  <c r="AS17" i="16"/>
  <c r="BF17" i="16"/>
  <c r="AS18" i="16"/>
  <c r="AX18" i="16"/>
  <c r="AY18" i="16" s="1"/>
  <c r="AS19" i="16"/>
  <c r="AX19" i="16"/>
  <c r="AY19" i="16" s="1"/>
  <c r="AS20" i="16"/>
  <c r="BF20" i="16"/>
  <c r="AS21" i="16"/>
  <c r="AX21" i="16"/>
  <c r="AY21" i="16" s="1"/>
  <c r="AS22" i="16"/>
  <c r="BF22" i="16"/>
  <c r="AS23" i="16"/>
  <c r="AX23" i="16"/>
  <c r="AY23" i="16" s="1"/>
  <c r="AS24" i="16"/>
  <c r="AX24" i="16"/>
  <c r="AY24" i="16" s="1"/>
  <c r="AS25" i="16"/>
  <c r="AX25" i="16"/>
  <c r="AY25" i="16" s="1"/>
  <c r="AS26" i="16"/>
  <c r="BF26" i="16"/>
  <c r="AS27" i="16"/>
  <c r="AX27" i="16"/>
  <c r="AY27" i="16" s="1"/>
  <c r="AS28" i="16"/>
  <c r="AX28" i="16"/>
  <c r="AY28" i="16" s="1"/>
  <c r="AS29" i="16"/>
  <c r="AX29" i="16"/>
  <c r="AY29" i="16" s="1"/>
  <c r="AS30" i="16"/>
  <c r="BF30" i="16"/>
  <c r="AS31" i="16"/>
  <c r="AX31" i="16"/>
  <c r="AY31" i="16" s="1"/>
  <c r="AS32" i="16"/>
  <c r="AX32" i="16"/>
  <c r="AY32" i="16" s="1"/>
  <c r="AS33" i="16"/>
  <c r="AX33" i="16"/>
  <c r="AY33" i="16" s="1"/>
  <c r="AS34" i="16"/>
  <c r="BF34" i="16"/>
  <c r="AS35" i="16"/>
  <c r="BF35" i="16"/>
  <c r="AS36" i="16"/>
  <c r="AX36" i="16"/>
  <c r="AY36" i="16" s="1"/>
  <c r="AS37" i="16"/>
  <c r="AX37" i="16"/>
  <c r="AY37" i="16" s="1"/>
  <c r="AS38" i="16"/>
  <c r="AX38" i="16"/>
  <c r="AY38" i="16" s="1"/>
  <c r="AS39" i="16"/>
  <c r="AX39" i="16"/>
  <c r="AY39" i="16" s="1"/>
  <c r="AS40" i="16"/>
  <c r="BF40" i="16"/>
  <c r="AS41" i="16"/>
  <c r="AX41" i="16"/>
  <c r="AY41" i="16" s="1"/>
  <c r="AS42" i="16"/>
  <c r="AX42" i="16"/>
  <c r="AY42" i="16" s="1"/>
  <c r="AS43" i="16"/>
  <c r="AX43" i="16"/>
  <c r="AY43" i="16" s="1"/>
  <c r="AS44" i="16"/>
  <c r="AX44" i="16"/>
  <c r="AY44" i="16" s="1"/>
  <c r="AS45" i="16"/>
  <c r="AX45" i="16"/>
  <c r="AY45" i="16" s="1"/>
  <c r="AS46" i="16"/>
  <c r="BF46" i="16"/>
  <c r="AS47" i="16"/>
  <c r="AX47" i="16"/>
  <c r="AY47" i="16" s="1"/>
  <c r="AS48" i="16"/>
  <c r="AX48" i="16"/>
  <c r="AY48" i="16" s="1"/>
  <c r="AS49" i="16"/>
  <c r="BL49" i="16"/>
  <c r="AS50" i="16"/>
  <c r="AX50" i="16"/>
  <c r="AY50" i="16" s="1"/>
  <c r="AS51" i="16"/>
  <c r="AX51" i="16"/>
  <c r="AY51" i="16" s="1"/>
  <c r="AS52" i="16"/>
  <c r="AX52" i="16"/>
  <c r="AY52" i="16" s="1"/>
  <c r="AS53" i="16"/>
  <c r="BF53" i="16"/>
  <c r="AS54" i="16"/>
  <c r="AX54" i="16"/>
  <c r="AY54" i="16" s="1"/>
  <c r="AS55" i="16"/>
  <c r="BF55" i="16"/>
  <c r="AF56" i="16"/>
  <c r="AX56" i="16"/>
  <c r="AY56" i="16" s="1"/>
  <c r="AS56" i="16"/>
  <c r="AS57" i="16"/>
  <c r="BF57" i="16"/>
  <c r="AS58" i="16"/>
  <c r="AX58" i="16"/>
  <c r="AY58" i="16" s="1"/>
  <c r="AS59" i="16"/>
  <c r="AX59" i="16"/>
  <c r="AY59" i="16" s="1"/>
  <c r="AS60" i="16"/>
  <c r="AX60" i="16"/>
  <c r="AY60" i="16" s="1"/>
  <c r="AS61" i="16"/>
  <c r="AX61" i="16"/>
  <c r="AY61" i="16" s="1"/>
  <c r="AS62" i="16"/>
  <c r="AX62" i="16"/>
  <c r="AY62" i="16" s="1"/>
  <c r="AS63" i="16"/>
  <c r="AX63" i="16"/>
  <c r="AY63" i="16" s="1"/>
  <c r="AS64" i="16"/>
  <c r="AX64" i="16"/>
  <c r="AY64" i="16" s="1"/>
  <c r="AS65" i="16"/>
  <c r="AX65" i="16"/>
  <c r="AY65" i="16" s="1"/>
  <c r="AS66" i="16"/>
  <c r="AX66" i="16"/>
  <c r="AY66" i="16" s="1"/>
  <c r="AS67" i="16"/>
  <c r="AX67" i="16"/>
  <c r="AY67" i="16" s="1"/>
  <c r="AS68" i="16"/>
  <c r="AX68" i="16"/>
  <c r="AY68" i="16" s="1"/>
  <c r="AS69" i="16"/>
  <c r="AX69" i="16"/>
  <c r="AY69" i="16" s="1"/>
  <c r="AS70" i="16"/>
  <c r="AX70" i="16"/>
  <c r="AY70" i="16" s="1"/>
  <c r="AS71" i="16"/>
  <c r="AX71" i="16"/>
  <c r="AY71" i="16" s="1"/>
  <c r="AS72" i="16"/>
  <c r="AX72" i="16"/>
  <c r="AY72" i="16" s="1"/>
  <c r="AS73" i="16"/>
  <c r="BF73" i="16"/>
  <c r="AS74" i="16"/>
  <c r="BF74" i="16"/>
  <c r="AS75" i="16"/>
  <c r="AX75" i="16"/>
  <c r="AY75" i="16" s="1"/>
  <c r="AS76" i="16"/>
  <c r="AX76" i="16"/>
  <c r="AY76" i="16" s="1"/>
  <c r="AS77" i="16"/>
  <c r="AX77" i="16"/>
  <c r="AY77" i="16" s="1"/>
  <c r="AS78" i="16"/>
  <c r="AX78" i="16"/>
  <c r="AY78" i="16" s="1"/>
  <c r="AS79" i="16"/>
  <c r="AX79" i="16"/>
  <c r="AY79" i="16" s="1"/>
  <c r="AS80" i="16"/>
  <c r="AX80" i="16"/>
  <c r="AY80" i="16" s="1"/>
  <c r="AS81" i="16"/>
  <c r="BL81" i="16"/>
  <c r="AS82" i="16"/>
  <c r="BF82" i="16"/>
  <c r="AS83" i="16"/>
  <c r="BF83" i="16"/>
  <c r="AS84" i="16"/>
  <c r="BF84" i="16"/>
  <c r="AS85" i="16"/>
  <c r="BF85" i="16"/>
  <c r="AS86" i="16"/>
  <c r="BF86" i="16"/>
  <c r="AS87" i="16"/>
  <c r="BF87" i="16"/>
  <c r="AS88" i="16"/>
  <c r="BF88" i="16"/>
  <c r="AS89" i="16"/>
  <c r="BF89" i="16"/>
  <c r="AS90" i="16"/>
  <c r="BF90" i="16"/>
  <c r="AS91" i="16"/>
  <c r="BF91" i="16"/>
  <c r="AS92" i="16"/>
  <c r="BF92" i="16"/>
  <c r="AS93" i="16"/>
  <c r="BF93" i="16"/>
  <c r="AS94" i="16"/>
  <c r="BF94" i="16"/>
  <c r="AS95" i="16"/>
  <c r="BF95" i="16"/>
  <c r="AS96" i="16"/>
  <c r="AX96" i="16"/>
  <c r="AY96" i="16" s="1"/>
  <c r="AS97" i="16"/>
  <c r="BF97" i="16"/>
  <c r="AS98" i="16"/>
  <c r="BF98" i="16"/>
  <c r="AS99" i="16"/>
  <c r="BF99" i="16"/>
  <c r="AS100" i="16"/>
  <c r="BF100" i="16"/>
  <c r="AS101" i="16"/>
  <c r="AX101" i="16"/>
  <c r="AY101" i="16" s="1"/>
  <c r="AS102" i="16"/>
  <c r="BF102" i="16"/>
  <c r="AS103" i="16"/>
  <c r="BF103" i="16"/>
  <c r="AS104" i="16"/>
  <c r="BF104" i="16"/>
  <c r="AS105" i="16"/>
  <c r="AX105" i="16"/>
  <c r="AY105" i="16" s="1"/>
  <c r="AS106" i="16"/>
  <c r="BF106" i="16"/>
  <c r="AS107" i="16"/>
  <c r="BF107" i="16"/>
  <c r="AS108" i="16"/>
  <c r="AX108" i="16"/>
  <c r="AY108" i="16" s="1"/>
  <c r="AS109" i="16"/>
  <c r="AX109" i="16"/>
  <c r="AY109" i="16" s="1"/>
  <c r="AS110" i="16"/>
  <c r="BF110" i="16"/>
  <c r="AS111" i="16"/>
  <c r="BL111" i="16"/>
  <c r="AS112" i="16"/>
  <c r="BL112" i="16"/>
  <c r="AS113" i="16"/>
  <c r="AX113" i="16"/>
  <c r="AY113" i="16" s="1"/>
  <c r="AS114" i="16"/>
  <c r="AX114" i="16"/>
  <c r="AY114" i="16" s="1"/>
  <c r="AS115" i="16"/>
  <c r="AX115" i="16"/>
  <c r="AY115" i="16" s="1"/>
  <c r="AF7" i="16"/>
  <c r="AF8" i="16"/>
  <c r="AK8" i="16"/>
  <c r="AL8" i="16" s="1"/>
  <c r="AF9" i="16"/>
  <c r="AK9" i="16"/>
  <c r="AL9" i="16" s="1"/>
  <c r="AF10" i="16"/>
  <c r="AK10" i="16"/>
  <c r="AL10" i="16" s="1"/>
  <c r="AF11" i="16"/>
  <c r="AF12" i="16"/>
  <c r="AF13" i="16"/>
  <c r="AK13" i="16"/>
  <c r="AL13" i="16" s="1"/>
  <c r="AF14" i="16"/>
  <c r="AF15" i="16"/>
  <c r="AF16" i="16"/>
  <c r="AF17" i="16"/>
  <c r="AF18" i="16"/>
  <c r="AF19" i="16"/>
  <c r="AF20" i="16"/>
  <c r="AF21" i="16"/>
  <c r="AF22" i="16"/>
  <c r="AK22" i="16"/>
  <c r="AL22" i="16" s="1"/>
  <c r="AF23" i="16"/>
  <c r="AK23" i="16"/>
  <c r="AL23" i="16" s="1"/>
  <c r="AF24" i="16"/>
  <c r="AF25" i="16"/>
  <c r="AK25" i="16"/>
  <c r="AL25" i="16" s="1"/>
  <c r="AF26" i="16"/>
  <c r="AK26" i="16"/>
  <c r="AL26" i="16" s="1"/>
  <c r="AF27" i="16"/>
  <c r="AF28" i="16"/>
  <c r="AK28" i="16"/>
  <c r="AL28" i="16" s="1"/>
  <c r="AF29" i="16"/>
  <c r="AF30" i="16"/>
  <c r="AF31" i="16"/>
  <c r="AK31" i="16"/>
  <c r="AL31" i="16" s="1"/>
  <c r="AF32" i="16"/>
  <c r="AF33" i="16"/>
  <c r="AK33" i="16"/>
  <c r="AL33" i="16" s="1"/>
  <c r="AF34" i="16"/>
  <c r="AF35" i="16"/>
  <c r="AF36" i="16"/>
  <c r="AK36" i="16"/>
  <c r="AL36" i="16" s="1"/>
  <c r="AF37" i="16"/>
  <c r="AF38" i="16"/>
  <c r="AF39" i="16"/>
  <c r="AK39" i="16"/>
  <c r="AL39" i="16" s="1"/>
  <c r="AF40" i="16"/>
  <c r="AF41" i="16"/>
  <c r="AF42" i="16"/>
  <c r="AF43" i="16"/>
  <c r="AF44" i="16"/>
  <c r="AF45" i="16"/>
  <c r="AF46" i="16"/>
  <c r="AF47" i="16"/>
  <c r="AF48" i="16"/>
  <c r="AF49" i="16"/>
  <c r="AF50" i="16"/>
  <c r="AF51" i="16"/>
  <c r="AK51" i="16"/>
  <c r="AL51" i="16" s="1"/>
  <c r="AF52" i="16"/>
  <c r="AF53" i="16"/>
  <c r="AF54" i="16"/>
  <c r="AK54" i="16"/>
  <c r="AL54" i="16" s="1"/>
  <c r="AF55" i="16"/>
  <c r="AF57" i="16"/>
  <c r="AF58" i="16"/>
  <c r="AK58" i="16"/>
  <c r="AL58" i="16" s="1"/>
  <c r="AF59" i="16"/>
  <c r="AF60" i="16"/>
  <c r="AF61" i="16"/>
  <c r="AF62" i="16"/>
  <c r="AF63" i="16"/>
  <c r="AF64" i="16"/>
  <c r="AF65" i="16"/>
  <c r="AF66" i="16"/>
  <c r="AF67" i="16"/>
  <c r="AF68" i="16"/>
  <c r="AF69" i="16"/>
  <c r="AF70" i="16"/>
  <c r="AF71" i="16"/>
  <c r="AF72" i="16"/>
  <c r="AF73" i="16"/>
  <c r="AF74" i="16"/>
  <c r="AK74" i="16"/>
  <c r="AL74" i="16" s="1"/>
  <c r="AF75" i="16"/>
  <c r="AF76" i="16"/>
  <c r="AK76" i="16"/>
  <c r="AL76" i="16" s="1"/>
  <c r="AF77" i="16"/>
  <c r="AF78" i="16"/>
  <c r="AK78" i="16"/>
  <c r="AL78" i="16" s="1"/>
  <c r="AF79" i="16"/>
  <c r="AF80" i="16"/>
  <c r="AF81" i="16"/>
  <c r="AF82" i="16"/>
  <c r="AK82" i="16"/>
  <c r="AL82" i="16" s="1"/>
  <c r="AF83" i="16"/>
  <c r="AK83" i="16"/>
  <c r="AL83" i="16" s="1"/>
  <c r="AF84" i="16"/>
  <c r="AK84" i="16"/>
  <c r="AL84" i="16" s="1"/>
  <c r="AF85" i="16"/>
  <c r="AK85" i="16"/>
  <c r="AL85" i="16" s="1"/>
  <c r="AF86" i="16"/>
  <c r="AK86" i="16"/>
  <c r="AL86" i="16" s="1"/>
  <c r="AF87" i="16"/>
  <c r="AK87" i="16"/>
  <c r="AL87" i="16" s="1"/>
  <c r="AF88" i="16"/>
  <c r="AK88" i="16"/>
  <c r="AL88" i="16" s="1"/>
  <c r="AF89" i="16"/>
  <c r="AF90" i="16"/>
  <c r="AF91" i="16"/>
  <c r="AK91" i="16"/>
  <c r="AL91" i="16" s="1"/>
  <c r="AF92" i="16"/>
  <c r="AK92" i="16"/>
  <c r="AL92" i="16" s="1"/>
  <c r="AF93" i="16"/>
  <c r="AK93" i="16"/>
  <c r="AL93" i="16" s="1"/>
  <c r="AF94" i="16"/>
  <c r="AK94" i="16"/>
  <c r="AL94" i="16" s="1"/>
  <c r="AF95" i="16"/>
  <c r="AK95" i="16"/>
  <c r="AL95" i="16" s="1"/>
  <c r="AF96" i="16"/>
  <c r="AF97" i="16"/>
  <c r="AK97" i="16"/>
  <c r="AL97" i="16" s="1"/>
  <c r="AF98" i="16"/>
  <c r="AK98" i="16"/>
  <c r="AL98" i="16" s="1"/>
  <c r="AF99" i="16"/>
  <c r="AF100" i="16"/>
  <c r="AK100" i="16"/>
  <c r="AL100" i="16" s="1"/>
  <c r="AF101" i="16"/>
  <c r="AK101" i="16"/>
  <c r="AL101" i="16" s="1"/>
  <c r="AF102" i="16"/>
  <c r="AK102" i="16"/>
  <c r="AL102" i="16" s="1"/>
  <c r="AF103" i="16"/>
  <c r="AK103" i="16"/>
  <c r="AL103" i="16" s="1"/>
  <c r="AF104" i="16"/>
  <c r="AK104" i="16"/>
  <c r="AL104" i="16" s="1"/>
  <c r="AF105" i="16"/>
  <c r="AK105" i="16"/>
  <c r="AL105" i="16" s="1"/>
  <c r="AF106" i="16"/>
  <c r="AK106" i="16"/>
  <c r="AL106" i="16" s="1"/>
  <c r="AF107" i="16"/>
  <c r="AF108" i="16"/>
  <c r="AF109" i="16"/>
  <c r="AK109" i="16"/>
  <c r="AL109" i="16" s="1"/>
  <c r="AF110" i="16"/>
  <c r="AF111" i="16"/>
  <c r="AK111" i="16"/>
  <c r="AL111" i="16" s="1"/>
  <c r="AF112" i="16"/>
  <c r="AF113" i="16"/>
  <c r="AF114" i="16"/>
  <c r="AF115" i="16"/>
  <c r="AK115" i="16"/>
  <c r="AL115" i="16" s="1"/>
  <c r="AK6" i="16"/>
  <c r="AL6" i="16" s="1"/>
  <c r="AF6" i="16"/>
  <c r="AX6" i="16"/>
  <c r="AY6" i="16" s="1"/>
  <c r="AS6" i="16"/>
  <c r="C3" i="15"/>
  <c r="D35" i="16" l="1"/>
  <c r="H35" i="16" s="1"/>
  <c r="H33" i="16"/>
  <c r="CE116" i="16"/>
  <c r="E22" i="16" s="1"/>
  <c r="DE116" i="16"/>
  <c r="H59" i="16" s="1"/>
  <c r="CD116" i="16"/>
  <c r="CC116" i="16"/>
  <c r="D22" i="16" s="1"/>
  <c r="AM6" i="16"/>
  <c r="AZ56" i="16"/>
  <c r="CK116" i="16"/>
  <c r="I50" i="16" s="1"/>
  <c r="AZ6" i="16"/>
  <c r="AM56" i="16"/>
  <c r="DF116" i="16"/>
  <c r="BL116" i="16"/>
  <c r="F68" i="16" s="1"/>
  <c r="BF116" i="16"/>
  <c r="F67" i="16" s="1"/>
  <c r="AX112" i="16"/>
  <c r="AY112" i="16" s="1"/>
  <c r="AZ112" i="16" s="1"/>
  <c r="BJ112" i="16"/>
  <c r="AX111" i="16"/>
  <c r="AY111" i="16" s="1"/>
  <c r="AZ111" i="16" s="1"/>
  <c r="BJ111" i="16"/>
  <c r="AX110" i="16"/>
  <c r="AY110" i="16" s="1"/>
  <c r="AZ110" i="16" s="1"/>
  <c r="BD110" i="16"/>
  <c r="AX107" i="16"/>
  <c r="AY107" i="16" s="1"/>
  <c r="AZ107" i="16" s="1"/>
  <c r="BD107" i="16"/>
  <c r="AX106" i="16"/>
  <c r="AY106" i="16" s="1"/>
  <c r="AZ106" i="16" s="1"/>
  <c r="BD106" i="16"/>
  <c r="AX104" i="16"/>
  <c r="AY104" i="16" s="1"/>
  <c r="AZ104" i="16" s="1"/>
  <c r="BD104" i="16"/>
  <c r="AX103" i="16"/>
  <c r="AY103" i="16" s="1"/>
  <c r="AZ103" i="16" s="1"/>
  <c r="BD103" i="16"/>
  <c r="AX102" i="16"/>
  <c r="AY102" i="16" s="1"/>
  <c r="AZ102" i="16" s="1"/>
  <c r="BD102" i="16"/>
  <c r="AX100" i="16"/>
  <c r="AY100" i="16" s="1"/>
  <c r="AZ100" i="16" s="1"/>
  <c r="BD100" i="16"/>
  <c r="AX99" i="16"/>
  <c r="AY99" i="16" s="1"/>
  <c r="AZ99" i="16" s="1"/>
  <c r="BD99" i="16"/>
  <c r="AX98" i="16"/>
  <c r="AY98" i="16" s="1"/>
  <c r="AZ98" i="16" s="1"/>
  <c r="BD98" i="16"/>
  <c r="AX97" i="16"/>
  <c r="AY97" i="16" s="1"/>
  <c r="AZ97" i="16" s="1"/>
  <c r="BD97" i="16"/>
  <c r="AX95" i="16"/>
  <c r="AY95" i="16" s="1"/>
  <c r="AZ95" i="16" s="1"/>
  <c r="BD95" i="16"/>
  <c r="AX94" i="16"/>
  <c r="AY94" i="16" s="1"/>
  <c r="AZ94" i="16" s="1"/>
  <c r="BD94" i="16"/>
  <c r="AX93" i="16"/>
  <c r="AY93" i="16" s="1"/>
  <c r="BD93" i="16"/>
  <c r="AX92" i="16"/>
  <c r="AY92" i="16" s="1"/>
  <c r="AZ92" i="16" s="1"/>
  <c r="BD92" i="16"/>
  <c r="AX91" i="16"/>
  <c r="AY91" i="16" s="1"/>
  <c r="AZ91" i="16" s="1"/>
  <c r="BD91" i="16"/>
  <c r="AX90" i="16"/>
  <c r="AY90" i="16" s="1"/>
  <c r="AZ90" i="16" s="1"/>
  <c r="BD90" i="16"/>
  <c r="AX89" i="16"/>
  <c r="AY89" i="16" s="1"/>
  <c r="AZ89" i="16" s="1"/>
  <c r="BD89" i="16"/>
  <c r="AX88" i="16"/>
  <c r="AY88" i="16" s="1"/>
  <c r="AZ88" i="16" s="1"/>
  <c r="BD88" i="16"/>
  <c r="AX87" i="16"/>
  <c r="AY87" i="16" s="1"/>
  <c r="AZ87" i="16" s="1"/>
  <c r="BD87" i="16"/>
  <c r="AX86" i="16"/>
  <c r="AY86" i="16" s="1"/>
  <c r="AZ86" i="16" s="1"/>
  <c r="BD86" i="16"/>
  <c r="AX85" i="16"/>
  <c r="AY85" i="16" s="1"/>
  <c r="AZ85" i="16" s="1"/>
  <c r="BD85" i="16"/>
  <c r="AX84" i="16"/>
  <c r="AY84" i="16" s="1"/>
  <c r="AZ84" i="16" s="1"/>
  <c r="BD84" i="16"/>
  <c r="AX83" i="16"/>
  <c r="AY83" i="16" s="1"/>
  <c r="AZ83" i="16" s="1"/>
  <c r="BD83" i="16"/>
  <c r="AX82" i="16"/>
  <c r="AY82" i="16" s="1"/>
  <c r="AZ82" i="16" s="1"/>
  <c r="BD82" i="16"/>
  <c r="AX81" i="16"/>
  <c r="AY81" i="16" s="1"/>
  <c r="AZ81" i="16" s="1"/>
  <c r="BJ81" i="16"/>
  <c r="AX74" i="16"/>
  <c r="AY74" i="16" s="1"/>
  <c r="AZ74" i="16" s="1"/>
  <c r="BD74" i="16"/>
  <c r="AX73" i="16"/>
  <c r="AY73" i="16" s="1"/>
  <c r="AZ73" i="16" s="1"/>
  <c r="BD73" i="16"/>
  <c r="AX57" i="16"/>
  <c r="AY57" i="16" s="1"/>
  <c r="AZ57" i="16" s="1"/>
  <c r="BD57" i="16"/>
  <c r="AX55" i="16"/>
  <c r="AY55" i="16" s="1"/>
  <c r="AZ55" i="16" s="1"/>
  <c r="BD55" i="16"/>
  <c r="AX53" i="16"/>
  <c r="AY53" i="16" s="1"/>
  <c r="AZ53" i="16" s="1"/>
  <c r="BD53" i="16"/>
  <c r="AX49" i="16"/>
  <c r="AY49" i="16" s="1"/>
  <c r="AZ49" i="16" s="1"/>
  <c r="BJ49" i="16"/>
  <c r="AX46" i="16"/>
  <c r="AY46" i="16" s="1"/>
  <c r="AZ46" i="16" s="1"/>
  <c r="BD46" i="16"/>
  <c r="AX40" i="16"/>
  <c r="AY40" i="16" s="1"/>
  <c r="AZ40" i="16" s="1"/>
  <c r="BD40" i="16"/>
  <c r="AX35" i="16"/>
  <c r="AY35" i="16" s="1"/>
  <c r="AZ35" i="16" s="1"/>
  <c r="BD35" i="16"/>
  <c r="AX34" i="16"/>
  <c r="AY34" i="16" s="1"/>
  <c r="AZ34" i="16" s="1"/>
  <c r="BD34" i="16"/>
  <c r="AX30" i="16"/>
  <c r="AY30" i="16" s="1"/>
  <c r="AZ30" i="16" s="1"/>
  <c r="BD30" i="16"/>
  <c r="AX26" i="16"/>
  <c r="AY26" i="16" s="1"/>
  <c r="AZ26" i="16" s="1"/>
  <c r="BD26" i="16"/>
  <c r="AX22" i="16"/>
  <c r="AY22" i="16" s="1"/>
  <c r="AZ22" i="16" s="1"/>
  <c r="BD22" i="16"/>
  <c r="AX20" i="16"/>
  <c r="AY20" i="16" s="1"/>
  <c r="BD20" i="16"/>
  <c r="AX17" i="16"/>
  <c r="AY17" i="16" s="1"/>
  <c r="AZ17" i="16" s="1"/>
  <c r="BD17" i="16"/>
  <c r="AX14" i="16"/>
  <c r="AY14" i="16" s="1"/>
  <c r="AZ14" i="16" s="1"/>
  <c r="BD14" i="16"/>
  <c r="AZ115" i="16"/>
  <c r="AZ114" i="16"/>
  <c r="AZ113" i="16"/>
  <c r="AZ109" i="16"/>
  <c r="AZ108" i="16"/>
  <c r="AZ105" i="16"/>
  <c r="AZ101" i="16"/>
  <c r="AZ96" i="16"/>
  <c r="AZ93" i="16"/>
  <c r="AZ80" i="16"/>
  <c r="AZ79" i="16"/>
  <c r="AZ78" i="16"/>
  <c r="AZ77" i="16"/>
  <c r="AZ76" i="16"/>
  <c r="AZ75" i="16"/>
  <c r="AZ72" i="16"/>
  <c r="AZ71" i="16"/>
  <c r="AZ70" i="16"/>
  <c r="AZ69" i="16"/>
  <c r="AZ68" i="16"/>
  <c r="AZ67" i="16"/>
  <c r="AZ66" i="16"/>
  <c r="AZ65" i="16"/>
  <c r="AZ64" i="16"/>
  <c r="AZ63" i="16"/>
  <c r="AZ62" i="16"/>
  <c r="AZ61" i="16"/>
  <c r="AZ60" i="16"/>
  <c r="AZ59" i="16"/>
  <c r="AZ58" i="16"/>
  <c r="AZ54" i="16"/>
  <c r="AZ52" i="16"/>
  <c r="AZ51" i="16"/>
  <c r="AZ50" i="16"/>
  <c r="AZ48" i="16"/>
  <c r="AZ47" i="16"/>
  <c r="AZ45" i="16"/>
  <c r="AZ44" i="16"/>
  <c r="AZ43" i="16"/>
  <c r="AZ42" i="16"/>
  <c r="AZ41" i="16"/>
  <c r="AZ39" i="16"/>
  <c r="AZ38" i="16"/>
  <c r="AZ37" i="16"/>
  <c r="AZ36" i="16"/>
  <c r="AZ33" i="16"/>
  <c r="AZ32" i="16"/>
  <c r="AZ31" i="16"/>
  <c r="AZ29" i="16"/>
  <c r="AZ28" i="16"/>
  <c r="AZ27" i="16"/>
  <c r="AZ25" i="16"/>
  <c r="AZ24" i="16"/>
  <c r="AZ23" i="16"/>
  <c r="AZ21" i="16"/>
  <c r="AZ20" i="16"/>
  <c r="AZ19" i="16"/>
  <c r="AZ18" i="16"/>
  <c r="AZ16" i="16"/>
  <c r="AZ15" i="16"/>
  <c r="AZ13" i="16"/>
  <c r="AZ12" i="16"/>
  <c r="AZ11" i="16"/>
  <c r="AZ10" i="16"/>
  <c r="AZ9" i="16"/>
  <c r="AZ8" i="16"/>
  <c r="AZ7" i="16"/>
  <c r="AM115" i="16"/>
  <c r="AM114" i="16"/>
  <c r="AM113" i="16"/>
  <c r="AM112" i="16"/>
  <c r="AM111" i="16"/>
  <c r="AM110" i="16"/>
  <c r="AM109" i="16"/>
  <c r="BQ109" i="16" s="1"/>
  <c r="AM108" i="16"/>
  <c r="BN108" i="16" s="1"/>
  <c r="AM107" i="16"/>
  <c r="AM106" i="16"/>
  <c r="AM105" i="16"/>
  <c r="AM104" i="16"/>
  <c r="AM103" i="16"/>
  <c r="AM102" i="16"/>
  <c r="AM101" i="16"/>
  <c r="AM100" i="16"/>
  <c r="AM99" i="16"/>
  <c r="AM98" i="16"/>
  <c r="AM97" i="16"/>
  <c r="AM96" i="16"/>
  <c r="BN96" i="16" s="1"/>
  <c r="AM95" i="16"/>
  <c r="AM94" i="16"/>
  <c r="AM93" i="16"/>
  <c r="AM92" i="16"/>
  <c r="AM91" i="16"/>
  <c r="AM90" i="16"/>
  <c r="AM89" i="16"/>
  <c r="AM88" i="16"/>
  <c r="AM87" i="16"/>
  <c r="AM86" i="16"/>
  <c r="AM85" i="16"/>
  <c r="AM84" i="16"/>
  <c r="AM83" i="16"/>
  <c r="AM82" i="16"/>
  <c r="BP82" i="16" s="1"/>
  <c r="AM81" i="16"/>
  <c r="AM80" i="16"/>
  <c r="AM79" i="16"/>
  <c r="AM78" i="16"/>
  <c r="AM77" i="16"/>
  <c r="AM76" i="16"/>
  <c r="AM75" i="16"/>
  <c r="AM74" i="16"/>
  <c r="AM73" i="16"/>
  <c r="AM72" i="16"/>
  <c r="BN72" i="16" s="1"/>
  <c r="AM71" i="16"/>
  <c r="AM70" i="16"/>
  <c r="AM69" i="16"/>
  <c r="AM68" i="16"/>
  <c r="BN68" i="16" s="1"/>
  <c r="AM67" i="16"/>
  <c r="AM66" i="16"/>
  <c r="AM65" i="16"/>
  <c r="AM64" i="16"/>
  <c r="BN64" i="16" s="1"/>
  <c r="AM63" i="16"/>
  <c r="AM62" i="16"/>
  <c r="AM61" i="16"/>
  <c r="AM60" i="16"/>
  <c r="BN60" i="16" s="1"/>
  <c r="AM59" i="16"/>
  <c r="AM58" i="16"/>
  <c r="AM57" i="16"/>
  <c r="AM55" i="16"/>
  <c r="AM54" i="16"/>
  <c r="BN54" i="16" s="1"/>
  <c r="AM53" i="16"/>
  <c r="AM52" i="16"/>
  <c r="AM51" i="16"/>
  <c r="AM50" i="16"/>
  <c r="AM49" i="16"/>
  <c r="AM48" i="16"/>
  <c r="AM47" i="16"/>
  <c r="AM46" i="16"/>
  <c r="AM45" i="16"/>
  <c r="AM44" i="16"/>
  <c r="AM43" i="16"/>
  <c r="BN43" i="16" s="1"/>
  <c r="AM42" i="16"/>
  <c r="AM41" i="16"/>
  <c r="AM40" i="16"/>
  <c r="AM39" i="16"/>
  <c r="BN39" i="16" s="1"/>
  <c r="AM38" i="16"/>
  <c r="BN38" i="16" s="1"/>
  <c r="AM37" i="16"/>
  <c r="AM36" i="16"/>
  <c r="AM35" i="16"/>
  <c r="AM34" i="16"/>
  <c r="AM33" i="16"/>
  <c r="AM32" i="16"/>
  <c r="AM31" i="16"/>
  <c r="AM30" i="16"/>
  <c r="AM29" i="16"/>
  <c r="BN29" i="16" s="1"/>
  <c r="AM28" i="16"/>
  <c r="BN28" i="16" s="1"/>
  <c r="AM27" i="16"/>
  <c r="BN27" i="16" s="1"/>
  <c r="AM26" i="16"/>
  <c r="AM25" i="16"/>
  <c r="AM24" i="16"/>
  <c r="AM23" i="16"/>
  <c r="BN23" i="16" s="1"/>
  <c r="AM22" i="16"/>
  <c r="AM21" i="16"/>
  <c r="AM20" i="16"/>
  <c r="AM19" i="16"/>
  <c r="AM18" i="16"/>
  <c r="AM17" i="16"/>
  <c r="AM16" i="16"/>
  <c r="AM15" i="16"/>
  <c r="AM14" i="16"/>
  <c r="AM13" i="16"/>
  <c r="BN13" i="16" s="1"/>
  <c r="AM12" i="16"/>
  <c r="BN12" i="16" s="1"/>
  <c r="AM11" i="16"/>
  <c r="BN11" i="16" s="1"/>
  <c r="AM10" i="16"/>
  <c r="BN10" i="16" s="1"/>
  <c r="AM9" i="16"/>
  <c r="BN9" i="16" s="1"/>
  <c r="AM8" i="16"/>
  <c r="BN8" i="16" s="1"/>
  <c r="AM7" i="16"/>
  <c r="Q35" i="15"/>
  <c r="C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15" i="15"/>
  <c r="F20" i="15"/>
  <c r="F21" i="15"/>
  <c r="F22" i="15"/>
  <c r="F23" i="15"/>
  <c r="F24" i="15"/>
  <c r="F25" i="15"/>
  <c r="F26" i="15"/>
  <c r="F27" i="15"/>
  <c r="E25" i="15"/>
  <c r="C27" i="15"/>
  <c r="E27" i="15" s="1"/>
  <c r="C26" i="15"/>
  <c r="E26" i="15" s="1"/>
  <c r="C24" i="15"/>
  <c r="E24" i="15" s="1"/>
  <c r="C23" i="15"/>
  <c r="E23" i="15" s="1"/>
  <c r="C21" i="15"/>
  <c r="C20" i="15"/>
  <c r="G15" i="15"/>
  <c r="H15" i="15" s="1"/>
  <c r="F28" i="15"/>
  <c r="F19" i="15"/>
  <c r="F30" i="15"/>
  <c r="F31" i="15"/>
  <c r="F32" i="15"/>
  <c r="F33" i="15"/>
  <c r="F34" i="15"/>
  <c r="F35" i="15"/>
  <c r="F29" i="15"/>
  <c r="F16" i="15"/>
  <c r="F17" i="15"/>
  <c r="F18" i="15"/>
  <c r="F15" i="15"/>
  <c r="E22" i="15"/>
  <c r="BN15" i="16" l="1"/>
  <c r="G31" i="15"/>
  <c r="H31" i="15" s="1"/>
  <c r="I31" i="15" s="1"/>
  <c r="G27" i="15"/>
  <c r="G23" i="15"/>
  <c r="H23" i="15" s="1"/>
  <c r="G19" i="15"/>
  <c r="H19" i="15" s="1"/>
  <c r="BN25" i="16"/>
  <c r="BN37" i="16"/>
  <c r="BN41" i="16"/>
  <c r="BN45" i="16"/>
  <c r="BN58" i="16"/>
  <c r="BN62" i="16"/>
  <c r="BN66" i="16"/>
  <c r="BN70" i="16"/>
  <c r="BN98" i="16"/>
  <c r="BN110" i="16"/>
  <c r="BJ116" i="16"/>
  <c r="I58" i="16" s="1"/>
  <c r="BN55" i="16"/>
  <c r="H22" i="16"/>
  <c r="G32" i="15"/>
  <c r="H32" i="15" s="1"/>
  <c r="G28" i="15"/>
  <c r="H28" i="15" s="1"/>
  <c r="I28" i="15" s="1"/>
  <c r="G24" i="15"/>
  <c r="G20" i="15"/>
  <c r="H20" i="15" s="1"/>
  <c r="I20" i="15" s="1"/>
  <c r="BN36" i="16"/>
  <c r="BN16" i="16"/>
  <c r="BN24" i="16"/>
  <c r="BN42" i="16"/>
  <c r="BN44" i="16"/>
  <c r="BN59" i="16"/>
  <c r="BN61" i="16"/>
  <c r="BN63" i="16"/>
  <c r="BN65" i="16"/>
  <c r="BN67" i="16"/>
  <c r="BN69" i="16"/>
  <c r="BN71" i="16"/>
  <c r="BN14" i="16"/>
  <c r="BN26" i="16"/>
  <c r="BN40" i="16"/>
  <c r="BN57" i="16"/>
  <c r="BN73" i="16"/>
  <c r="BN83" i="16"/>
  <c r="BN91" i="16"/>
  <c r="BN95" i="16"/>
  <c r="BN97" i="16"/>
  <c r="BN103" i="16"/>
  <c r="BN6" i="16"/>
  <c r="BN56" i="16"/>
  <c r="BN18" i="16"/>
  <c r="BN20" i="16"/>
  <c r="BN32" i="16"/>
  <c r="BN34" i="16"/>
  <c r="BN48" i="16"/>
  <c r="BN50" i="16"/>
  <c r="BN52" i="16"/>
  <c r="BN75" i="16"/>
  <c r="BN77" i="16"/>
  <c r="BN79" i="16"/>
  <c r="BN81" i="16"/>
  <c r="BN85" i="16"/>
  <c r="BN89" i="16"/>
  <c r="BN93" i="16"/>
  <c r="BN101" i="16"/>
  <c r="BR105" i="16"/>
  <c r="BN113" i="16"/>
  <c r="BN115" i="16"/>
  <c r="DF117" i="16"/>
  <c r="H60" i="16"/>
  <c r="BN19" i="16"/>
  <c r="BN21" i="16"/>
  <c r="BN31" i="16"/>
  <c r="BN33" i="16"/>
  <c r="BN47" i="16"/>
  <c r="BQ49" i="16"/>
  <c r="BR51" i="16"/>
  <c r="BN76" i="16"/>
  <c r="BN78" i="16"/>
  <c r="BN80" i="16"/>
  <c r="BN100" i="16"/>
  <c r="BP106" i="16"/>
  <c r="BN112" i="16"/>
  <c r="BN114" i="16"/>
  <c r="BO87" i="16"/>
  <c r="BP87" i="16"/>
  <c r="BN17" i="16"/>
  <c r="BN53" i="16"/>
  <c r="BN74" i="16"/>
  <c r="BO82" i="16"/>
  <c r="BQ86" i="16"/>
  <c r="BN90" i="16"/>
  <c r="BR94" i="16"/>
  <c r="BN102" i="16"/>
  <c r="BD116" i="16"/>
  <c r="I57" i="16" s="1"/>
  <c r="G34" i="15"/>
  <c r="H34" i="15" s="1"/>
  <c r="L34" i="15" s="1"/>
  <c r="M34" i="15" s="1"/>
  <c r="N34" i="15" s="1"/>
  <c r="Q34" i="15" s="1"/>
  <c r="G30" i="15"/>
  <c r="H30" i="15" s="1"/>
  <c r="I30" i="15" s="1"/>
  <c r="G26" i="15"/>
  <c r="H26" i="15" s="1"/>
  <c r="G22" i="15"/>
  <c r="G18" i="15"/>
  <c r="H18" i="15" s="1"/>
  <c r="L18" i="15" s="1"/>
  <c r="M18" i="15" s="1"/>
  <c r="N18" i="15" s="1"/>
  <c r="Q18" i="15" s="1"/>
  <c r="BN22" i="16"/>
  <c r="BN30" i="16"/>
  <c r="BN46" i="16"/>
  <c r="BN99" i="16"/>
  <c r="BP107" i="16"/>
  <c r="BN111" i="16"/>
  <c r="G33" i="15"/>
  <c r="H33" i="15" s="1"/>
  <c r="G29" i="15"/>
  <c r="H29" i="15" s="1"/>
  <c r="I29" i="15" s="1"/>
  <c r="G25" i="15"/>
  <c r="H25" i="15" s="1"/>
  <c r="G21" i="15"/>
  <c r="H21" i="15" s="1"/>
  <c r="I21" i="15" s="1"/>
  <c r="G17" i="15"/>
  <c r="H17" i="15" s="1"/>
  <c r="BN35" i="16"/>
  <c r="BN84" i="16"/>
  <c r="BN88" i="16"/>
  <c r="BN92" i="16"/>
  <c r="BR104" i="16"/>
  <c r="AZ116" i="16"/>
  <c r="BL119" i="16"/>
  <c r="AM116" i="16"/>
  <c r="BN7" i="16"/>
  <c r="G16" i="15"/>
  <c r="H16" i="15" s="1"/>
  <c r="I15" i="15"/>
  <c r="L15" i="15"/>
  <c r="M15" i="15" s="1"/>
  <c r="N15" i="15" s="1"/>
  <c r="Q15" i="15" s="1"/>
  <c r="I34" i="15"/>
  <c r="I33" i="15"/>
  <c r="L33" i="15"/>
  <c r="M33" i="15" s="1"/>
  <c r="N33" i="15" s="1"/>
  <c r="Q33" i="15" s="1"/>
  <c r="I32" i="15"/>
  <c r="L32" i="15"/>
  <c r="M32" i="15" s="1"/>
  <c r="N32" i="15" s="1"/>
  <c r="Q32" i="15" s="1"/>
  <c r="L31" i="15"/>
  <c r="M31" i="15" s="1"/>
  <c r="N31" i="15" s="1"/>
  <c r="Q31" i="15" s="1"/>
  <c r="L29" i="15"/>
  <c r="M29" i="15" s="1"/>
  <c r="N29" i="15" s="1"/>
  <c r="Q29" i="15" s="1"/>
  <c r="L28" i="15"/>
  <c r="M28" i="15" s="1"/>
  <c r="N28" i="15" s="1"/>
  <c r="Q28" i="15" s="1"/>
  <c r="L21" i="15"/>
  <c r="M21" i="15" s="1"/>
  <c r="N21" i="15" s="1"/>
  <c r="Q21" i="15" s="1"/>
  <c r="L20" i="15"/>
  <c r="I19" i="15"/>
  <c r="L19" i="15"/>
  <c r="M19" i="15" s="1"/>
  <c r="N19" i="15" s="1"/>
  <c r="Q19" i="15" s="1"/>
  <c r="I17" i="15"/>
  <c r="L17" i="15"/>
  <c r="M17" i="15" s="1"/>
  <c r="N17" i="15" s="1"/>
  <c r="Q17" i="15" s="1"/>
  <c r="I16" i="15"/>
  <c r="L16" i="15"/>
  <c r="M20" i="15"/>
  <c r="N20" i="15" s="1"/>
  <c r="Q20" i="15" s="1"/>
  <c r="M16" i="15"/>
  <c r="N16" i="15" s="1"/>
  <c r="Q16" i="15" s="1"/>
  <c r="H27" i="15"/>
  <c r="H24" i="15"/>
  <c r="H22" i="15"/>
  <c r="I18" i="15" l="1"/>
  <c r="BN116" i="16"/>
  <c r="D21" i="16" s="1"/>
  <c r="D23" i="16" s="1"/>
  <c r="BR116" i="16"/>
  <c r="G21" i="16" s="1"/>
  <c r="G23" i="16" s="1"/>
  <c r="BO116" i="16"/>
  <c r="BP116" i="16"/>
  <c r="E21" i="16" s="1"/>
  <c r="E23" i="16" s="1"/>
  <c r="BQ116" i="16"/>
  <c r="F21" i="16" s="1"/>
  <c r="F23" i="16" s="1"/>
  <c r="L30" i="15"/>
  <c r="M30" i="15" s="1"/>
  <c r="N30" i="15" s="1"/>
  <c r="Q30" i="15" s="1"/>
  <c r="L22" i="15"/>
  <c r="M22" i="15" s="1"/>
  <c r="N22" i="15" s="1"/>
  <c r="Q22" i="15" s="1"/>
  <c r="I22" i="15"/>
  <c r="L23" i="15"/>
  <c r="M23" i="15" s="1"/>
  <c r="N23" i="15" s="1"/>
  <c r="Q23" i="15" s="1"/>
  <c r="I23" i="15"/>
  <c r="L24" i="15"/>
  <c r="M24" i="15" s="1"/>
  <c r="N24" i="15" s="1"/>
  <c r="Q24" i="15" s="1"/>
  <c r="I24" i="15"/>
  <c r="L25" i="15"/>
  <c r="M25" i="15" s="1"/>
  <c r="N25" i="15" s="1"/>
  <c r="Q25" i="15" s="1"/>
  <c r="I25" i="15"/>
  <c r="L26" i="15"/>
  <c r="M26" i="15" s="1"/>
  <c r="N26" i="15" s="1"/>
  <c r="Q26" i="15" s="1"/>
  <c r="I26" i="15"/>
  <c r="L27" i="15"/>
  <c r="M27" i="15" s="1"/>
  <c r="N27" i="15" s="1"/>
  <c r="Q27" i="15" s="1"/>
  <c r="I27" i="15"/>
  <c r="Q27" i="8"/>
  <c r="Q28" i="8"/>
  <c r="Q29" i="8"/>
  <c r="Q30" i="8"/>
  <c r="Q31" i="8"/>
  <c r="Q32" i="8"/>
  <c r="Q33" i="8"/>
  <c r="Q26" i="8"/>
  <c r="P27" i="8"/>
  <c r="P28" i="8"/>
  <c r="P29" i="8"/>
  <c r="P30" i="8"/>
  <c r="P31" i="8"/>
  <c r="P32" i="8"/>
  <c r="P33" i="8"/>
  <c r="H23" i="16" l="1"/>
  <c r="H21" i="16"/>
  <c r="R33" i="8"/>
  <c r="R32" i="8"/>
  <c r="R31" i="8"/>
  <c r="R30" i="8"/>
  <c r="R29" i="8"/>
  <c r="R28" i="8"/>
  <c r="R27" i="8"/>
  <c r="G9" i="12"/>
  <c r="C5" i="12"/>
  <c r="C2" i="12"/>
  <c r="G10" i="12"/>
  <c r="G8" i="12"/>
  <c r="G7" i="12"/>
  <c r="S28" i="8" l="1"/>
  <c r="U28" i="8" s="1"/>
  <c r="S29" i="8"/>
  <c r="U31" i="8" s="1"/>
  <c r="S30" i="8"/>
  <c r="U27" i="8" s="1"/>
  <c r="S31" i="8"/>
  <c r="U32" i="8" s="1"/>
  <c r="S32" i="8"/>
  <c r="U26" i="8" s="1"/>
  <c r="S33" i="8"/>
  <c r="U33" i="8" s="1"/>
  <c r="G11" i="12"/>
  <c r="G12" i="12" s="1"/>
  <c r="D17" i="12" s="1"/>
  <c r="D18" i="12" s="1"/>
  <c r="E13" i="8"/>
  <c r="F13" i="8"/>
  <c r="G13" i="8"/>
  <c r="H13" i="8"/>
  <c r="I13" i="8"/>
  <c r="J13" i="8"/>
  <c r="K13" i="8"/>
  <c r="L13" i="8"/>
  <c r="M13" i="8"/>
  <c r="N13" i="8"/>
  <c r="O13" i="8"/>
  <c r="D13" i="8"/>
  <c r="P26" i="8"/>
  <c r="O19" i="8"/>
  <c r="O18" i="8"/>
  <c r="O17" i="8"/>
  <c r="O16" i="8"/>
  <c r="O15" i="8"/>
  <c r="N19" i="8"/>
  <c r="N18" i="8"/>
  <c r="N17" i="8"/>
  <c r="N16" i="8"/>
  <c r="N15" i="8"/>
  <c r="M19" i="8"/>
  <c r="M18" i="8"/>
  <c r="M17" i="8"/>
  <c r="M16" i="8"/>
  <c r="M15" i="8"/>
  <c r="L19" i="8"/>
  <c r="L18" i="8"/>
  <c r="L17" i="8"/>
  <c r="L16" i="8"/>
  <c r="L15" i="8"/>
  <c r="K19" i="8"/>
  <c r="K18" i="8"/>
  <c r="K17" i="8"/>
  <c r="K16" i="8"/>
  <c r="K15" i="8"/>
  <c r="J19" i="8"/>
  <c r="J18" i="8"/>
  <c r="J17" i="8"/>
  <c r="J16" i="8"/>
  <c r="J15" i="8"/>
  <c r="I19" i="8"/>
  <c r="I18" i="8"/>
  <c r="I17" i="8"/>
  <c r="I16" i="8"/>
  <c r="I15" i="8"/>
  <c r="H19" i="8"/>
  <c r="H18" i="8"/>
  <c r="H17" i="8"/>
  <c r="H16" i="8"/>
  <c r="H15" i="8"/>
  <c r="G19" i="8"/>
  <c r="G18" i="8"/>
  <c r="G17" i="8"/>
  <c r="G16" i="8"/>
  <c r="G15" i="8"/>
  <c r="F19" i="8"/>
  <c r="F18" i="8"/>
  <c r="F17" i="8"/>
  <c r="F16" i="8"/>
  <c r="F15" i="8"/>
  <c r="E19" i="8"/>
  <c r="E18" i="8"/>
  <c r="E17" i="8"/>
  <c r="E16" i="8"/>
  <c r="E15" i="8"/>
  <c r="D19" i="8"/>
  <c r="D18" i="8"/>
  <c r="D17" i="8"/>
  <c r="D16" i="8"/>
  <c r="D15" i="8"/>
  <c r="D21" i="12" l="1"/>
  <c r="D22" i="12" s="1"/>
  <c r="R26" i="8"/>
  <c r="S26" i="8" s="1"/>
  <c r="U29" i="8" s="1"/>
  <c r="S27" i="8" l="1"/>
  <c r="U30" i="8" s="1"/>
  <c r="I12" i="10" l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2" i="10"/>
  <c r="I55" i="10"/>
  <c r="I57" i="10"/>
  <c r="I61" i="10"/>
  <c r="I63" i="10"/>
  <c r="I64" i="10"/>
  <c r="I65" i="10"/>
  <c r="I66" i="10"/>
  <c r="I67" i="10"/>
  <c r="I68" i="10"/>
  <c r="I69" i="10"/>
  <c r="I70" i="10"/>
  <c r="I71" i="10"/>
  <c r="I72" i="10"/>
  <c r="I73" i="10"/>
  <c r="I75" i="10"/>
  <c r="I76" i="10"/>
  <c r="I77" i="10"/>
  <c r="I80" i="10"/>
  <c r="I82" i="10"/>
  <c r="I85" i="10"/>
  <c r="I86" i="10"/>
  <c r="I95" i="10"/>
  <c r="I112" i="10"/>
  <c r="I113" i="10"/>
  <c r="I115" i="10"/>
  <c r="AY115" i="10" s="1"/>
  <c r="I117" i="10"/>
  <c r="I11" i="10"/>
  <c r="K120" i="10" l="1"/>
  <c r="G120" i="10" s="1"/>
  <c r="AY120" i="10"/>
  <c r="E120" i="10"/>
  <c r="O115" i="16" s="1"/>
  <c r="K119" i="10"/>
  <c r="G119" i="10" s="1"/>
  <c r="AY119" i="10"/>
  <c r="E119" i="10"/>
  <c r="O114" i="16" s="1"/>
  <c r="K118" i="10"/>
  <c r="G118" i="10" s="1"/>
  <c r="AY118" i="10"/>
  <c r="E118" i="10"/>
  <c r="O113" i="16" s="1"/>
  <c r="K117" i="10"/>
  <c r="G117" i="10" s="1"/>
  <c r="AY117" i="10"/>
  <c r="E117" i="10"/>
  <c r="O112" i="16" s="1"/>
  <c r="AY116" i="10"/>
  <c r="K116" i="10"/>
  <c r="G116" i="10" s="1"/>
  <c r="K115" i="10"/>
  <c r="G115" i="10" s="1"/>
  <c r="E115" i="10"/>
  <c r="O110" i="16" s="1"/>
  <c r="K114" i="10"/>
  <c r="G114" i="10" s="1"/>
  <c r="AY114" i="10"/>
  <c r="E114" i="10"/>
  <c r="O109" i="16" s="1"/>
  <c r="K113" i="10"/>
  <c r="G113" i="10" s="1"/>
  <c r="AY113" i="10"/>
  <c r="E113" i="10"/>
  <c r="O108" i="16" s="1"/>
  <c r="K112" i="10"/>
  <c r="G112" i="10" s="1"/>
  <c r="AY112" i="10"/>
  <c r="E112" i="10"/>
  <c r="O107" i="16" s="1"/>
  <c r="K111" i="10"/>
  <c r="G111" i="10" s="1"/>
  <c r="AY111" i="10"/>
  <c r="E111" i="10"/>
  <c r="O106" i="16" s="1"/>
  <c r="K110" i="10"/>
  <c r="G110" i="10" s="1"/>
  <c r="AY110" i="10"/>
  <c r="E110" i="10"/>
  <c r="O105" i="16" s="1"/>
  <c r="K109" i="10"/>
  <c r="G109" i="10" s="1"/>
  <c r="AY109" i="10"/>
  <c r="E109" i="10"/>
  <c r="O104" i="16" s="1"/>
  <c r="K108" i="10"/>
  <c r="G108" i="10" s="1"/>
  <c r="AY108" i="10"/>
  <c r="E108" i="10"/>
  <c r="O103" i="16" s="1"/>
  <c r="K107" i="10"/>
  <c r="G107" i="10" s="1"/>
  <c r="AY107" i="10"/>
  <c r="E107" i="10"/>
  <c r="O102" i="16" s="1"/>
  <c r="K106" i="10"/>
  <c r="G106" i="10" s="1"/>
  <c r="AY106" i="10"/>
  <c r="E106" i="10"/>
  <c r="O101" i="16" s="1"/>
  <c r="K105" i="10"/>
  <c r="G105" i="10" s="1"/>
  <c r="AY105" i="10"/>
  <c r="E105" i="10"/>
  <c r="O100" i="16" s="1"/>
  <c r="K104" i="10"/>
  <c r="G104" i="10" s="1"/>
  <c r="AY104" i="10"/>
  <c r="E104" i="10"/>
  <c r="O99" i="16" s="1"/>
  <c r="K103" i="10"/>
  <c r="G103" i="10" s="1"/>
  <c r="AY103" i="10"/>
  <c r="E103" i="10"/>
  <c r="O98" i="16" s="1"/>
  <c r="K102" i="10"/>
  <c r="G102" i="10" s="1"/>
  <c r="AY102" i="10"/>
  <c r="E102" i="10"/>
  <c r="O97" i="16" s="1"/>
  <c r="K101" i="10"/>
  <c r="G101" i="10" s="1"/>
  <c r="AY101" i="10"/>
  <c r="E101" i="10"/>
  <c r="O96" i="16" s="1"/>
  <c r="K100" i="10"/>
  <c r="G100" i="10" s="1"/>
  <c r="AY100" i="10"/>
  <c r="E100" i="10"/>
  <c r="O95" i="16" s="1"/>
  <c r="K99" i="10"/>
  <c r="G99" i="10" s="1"/>
  <c r="AY99" i="10"/>
  <c r="E99" i="10"/>
  <c r="O94" i="16" s="1"/>
  <c r="K98" i="10"/>
  <c r="G98" i="10" s="1"/>
  <c r="AY98" i="10"/>
  <c r="E98" i="10"/>
  <c r="O93" i="16" s="1"/>
  <c r="K97" i="10"/>
  <c r="G97" i="10" s="1"/>
  <c r="AY97" i="10"/>
  <c r="E97" i="10"/>
  <c r="O92" i="16" s="1"/>
  <c r="K96" i="10"/>
  <c r="G96" i="10" s="1"/>
  <c r="AY96" i="10"/>
  <c r="E96" i="10"/>
  <c r="O91" i="16" s="1"/>
  <c r="K95" i="10"/>
  <c r="G95" i="10" s="1"/>
  <c r="AY95" i="10"/>
  <c r="E95" i="10"/>
  <c r="O90" i="16" s="1"/>
  <c r="K94" i="10"/>
  <c r="G94" i="10" s="1"/>
  <c r="AY94" i="10"/>
  <c r="E94" i="10"/>
  <c r="O89" i="16" s="1"/>
  <c r="K93" i="10"/>
  <c r="G93" i="10" s="1"/>
  <c r="AY93" i="10"/>
  <c r="E93" i="10"/>
  <c r="O88" i="16" s="1"/>
  <c r="K92" i="10"/>
  <c r="G92" i="10" s="1"/>
  <c r="AY92" i="10"/>
  <c r="E92" i="10"/>
  <c r="O87" i="16" s="1"/>
  <c r="K91" i="10"/>
  <c r="G91" i="10" s="1"/>
  <c r="AY91" i="10"/>
  <c r="E91" i="10"/>
  <c r="O86" i="16" s="1"/>
  <c r="K90" i="10"/>
  <c r="G90" i="10" s="1"/>
  <c r="AY90" i="10"/>
  <c r="E90" i="10"/>
  <c r="O85" i="16" s="1"/>
  <c r="K89" i="10"/>
  <c r="G89" i="10" s="1"/>
  <c r="AY89" i="10"/>
  <c r="E89" i="10"/>
  <c r="O84" i="16" s="1"/>
  <c r="K88" i="10"/>
  <c r="G88" i="10" s="1"/>
  <c r="AY88" i="10"/>
  <c r="E88" i="10"/>
  <c r="O83" i="16" s="1"/>
  <c r="K87" i="10"/>
  <c r="G87" i="10" s="1"/>
  <c r="AY87" i="10"/>
  <c r="E87" i="10"/>
  <c r="O82" i="16" s="1"/>
  <c r="K86" i="10"/>
  <c r="G86" i="10" s="1"/>
  <c r="AY86" i="10"/>
  <c r="E86" i="10"/>
  <c r="O81" i="16" s="1"/>
  <c r="K85" i="10"/>
  <c r="G85" i="10" s="1"/>
  <c r="AY85" i="10"/>
  <c r="E85" i="10"/>
  <c r="O80" i="16" s="1"/>
  <c r="K84" i="10"/>
  <c r="G84" i="10" s="1"/>
  <c r="AY84" i="10"/>
  <c r="E84" i="10"/>
  <c r="O79" i="16" s="1"/>
  <c r="K83" i="10"/>
  <c r="G83" i="10" s="1"/>
  <c r="AY83" i="10"/>
  <c r="E83" i="10"/>
  <c r="O78" i="16" s="1"/>
  <c r="K82" i="10"/>
  <c r="G82" i="10" s="1"/>
  <c r="AY82" i="10"/>
  <c r="E82" i="10"/>
  <c r="O77" i="16" s="1"/>
  <c r="K81" i="10"/>
  <c r="G81" i="10" s="1"/>
  <c r="AY81" i="10"/>
  <c r="E81" i="10"/>
  <c r="O76" i="16" s="1"/>
  <c r="K80" i="10"/>
  <c r="G80" i="10" s="1"/>
  <c r="AY80" i="10"/>
  <c r="E80" i="10"/>
  <c r="O75" i="16" s="1"/>
  <c r="K79" i="10"/>
  <c r="G79" i="10" s="1"/>
  <c r="AY79" i="10"/>
  <c r="E79" i="10"/>
  <c r="O74" i="16" s="1"/>
  <c r="K78" i="10"/>
  <c r="G78" i="10" s="1"/>
  <c r="AY78" i="10"/>
  <c r="E78" i="10"/>
  <c r="O73" i="16" s="1"/>
  <c r="K77" i="10"/>
  <c r="G77" i="10" s="1"/>
  <c r="AY77" i="10"/>
  <c r="E77" i="10"/>
  <c r="O72" i="16" s="1"/>
  <c r="K76" i="10"/>
  <c r="G76" i="10" s="1"/>
  <c r="AY76" i="10"/>
  <c r="E76" i="10"/>
  <c r="O71" i="16" s="1"/>
  <c r="AY75" i="10"/>
  <c r="K75" i="10"/>
  <c r="G75" i="10"/>
  <c r="E75" i="10"/>
  <c r="O70" i="16" s="1"/>
  <c r="AY74" i="10"/>
  <c r="K74" i="10"/>
  <c r="G74" i="10"/>
  <c r="E74" i="10"/>
  <c r="O69" i="16" s="1"/>
  <c r="AY73" i="10"/>
  <c r="K73" i="10"/>
  <c r="G73" i="10"/>
  <c r="E73" i="10"/>
  <c r="O68" i="16" s="1"/>
  <c r="AY72" i="10"/>
  <c r="K72" i="10"/>
  <c r="G72" i="10"/>
  <c r="E72" i="10"/>
  <c r="O67" i="16" s="1"/>
  <c r="AY71" i="10"/>
  <c r="K71" i="10"/>
  <c r="G71" i="10"/>
  <c r="E71" i="10"/>
  <c r="O66" i="16" s="1"/>
  <c r="AY70" i="10"/>
  <c r="K70" i="10"/>
  <c r="G70" i="10"/>
  <c r="E70" i="10"/>
  <c r="O65" i="16" s="1"/>
  <c r="AY69" i="10"/>
  <c r="K69" i="10"/>
  <c r="G69" i="10"/>
  <c r="E69" i="10"/>
  <c r="O64" i="16" s="1"/>
  <c r="AY68" i="10"/>
  <c r="K68" i="10"/>
  <c r="G68" i="10"/>
  <c r="E68" i="10"/>
  <c r="O63" i="16" s="1"/>
  <c r="AY67" i="10"/>
  <c r="K67" i="10"/>
  <c r="G67" i="10"/>
  <c r="E67" i="10"/>
  <c r="O62" i="16" s="1"/>
  <c r="AY66" i="10"/>
  <c r="K66" i="10"/>
  <c r="G66" i="10"/>
  <c r="E66" i="10"/>
  <c r="O61" i="16" s="1"/>
  <c r="AY65" i="10"/>
  <c r="K65" i="10"/>
  <c r="G65" i="10"/>
  <c r="E65" i="10"/>
  <c r="O60" i="16" s="1"/>
  <c r="AY64" i="10"/>
  <c r="K64" i="10"/>
  <c r="G64" i="10"/>
  <c r="E64" i="10"/>
  <c r="O59" i="16" s="1"/>
  <c r="AY63" i="10"/>
  <c r="K63" i="10"/>
  <c r="G63" i="10"/>
  <c r="E63" i="10"/>
  <c r="O58" i="16" s="1"/>
  <c r="AY62" i="10"/>
  <c r="K62" i="10"/>
  <c r="G62" i="10"/>
  <c r="E62" i="10"/>
  <c r="O57" i="16" s="1"/>
  <c r="AY61" i="10"/>
  <c r="K61" i="10"/>
  <c r="G61" i="10"/>
  <c r="E61" i="10"/>
  <c r="O56" i="16" s="1"/>
  <c r="AY60" i="10"/>
  <c r="K60" i="10"/>
  <c r="G60" i="10"/>
  <c r="E60" i="10"/>
  <c r="O55" i="16" s="1"/>
  <c r="AY59" i="10"/>
  <c r="K59" i="10"/>
  <c r="G59" i="10"/>
  <c r="E59" i="10"/>
  <c r="O54" i="16" s="1"/>
  <c r="AY58" i="10"/>
  <c r="K58" i="10"/>
  <c r="G58" i="10"/>
  <c r="E58" i="10"/>
  <c r="O53" i="16" s="1"/>
  <c r="AY57" i="10"/>
  <c r="K57" i="10"/>
  <c r="G57" i="10"/>
  <c r="E57" i="10"/>
  <c r="O52" i="16" s="1"/>
  <c r="AY56" i="10"/>
  <c r="K56" i="10"/>
  <c r="G56" i="10"/>
  <c r="E56" i="10"/>
  <c r="O51" i="16" s="1"/>
  <c r="AY55" i="10"/>
  <c r="K55" i="10"/>
  <c r="G55" i="10"/>
  <c r="E55" i="10"/>
  <c r="O50" i="16" s="1"/>
  <c r="AY54" i="10"/>
  <c r="K54" i="10"/>
  <c r="G54" i="10"/>
  <c r="E54" i="10"/>
  <c r="O49" i="16" s="1"/>
  <c r="AY53" i="10"/>
  <c r="K53" i="10"/>
  <c r="G53" i="10"/>
  <c r="E53" i="10"/>
  <c r="O48" i="16" s="1"/>
  <c r="AY52" i="10"/>
  <c r="K52" i="10"/>
  <c r="G52" i="10"/>
  <c r="E52" i="10"/>
  <c r="O47" i="16" s="1"/>
  <c r="AY51" i="10"/>
  <c r="K51" i="10"/>
  <c r="G51" i="10"/>
  <c r="E51" i="10"/>
  <c r="O46" i="16" s="1"/>
  <c r="AY50" i="10"/>
  <c r="K50" i="10"/>
  <c r="G50" i="10"/>
  <c r="E50" i="10"/>
  <c r="O45" i="16" s="1"/>
  <c r="AY49" i="10"/>
  <c r="K49" i="10"/>
  <c r="G49" i="10"/>
  <c r="E49" i="10"/>
  <c r="O44" i="16" s="1"/>
  <c r="AY48" i="10"/>
  <c r="K48" i="10"/>
  <c r="G48" i="10"/>
  <c r="E48" i="10"/>
  <c r="O43" i="16" s="1"/>
  <c r="AY47" i="10"/>
  <c r="K47" i="10"/>
  <c r="G47" i="10"/>
  <c r="E47" i="10"/>
  <c r="O42" i="16" s="1"/>
  <c r="AY46" i="10"/>
  <c r="K46" i="10"/>
  <c r="G46" i="10"/>
  <c r="E46" i="10"/>
  <c r="O41" i="16" s="1"/>
  <c r="AY45" i="10"/>
  <c r="K45" i="10"/>
  <c r="G45" i="10"/>
  <c r="E45" i="10"/>
  <c r="O40" i="16" s="1"/>
  <c r="AY44" i="10"/>
  <c r="K44" i="10"/>
  <c r="G44" i="10"/>
  <c r="E44" i="10"/>
  <c r="O39" i="16" s="1"/>
  <c r="AY43" i="10"/>
  <c r="K43" i="10"/>
  <c r="G43" i="10"/>
  <c r="E43" i="10"/>
  <c r="O38" i="16" s="1"/>
  <c r="AY42" i="10"/>
  <c r="K42" i="10"/>
  <c r="G42" i="10"/>
  <c r="E42" i="10"/>
  <c r="O37" i="16" s="1"/>
  <c r="AY41" i="10"/>
  <c r="K41" i="10"/>
  <c r="G41" i="10"/>
  <c r="E41" i="10"/>
  <c r="O36" i="16" s="1"/>
  <c r="AY40" i="10"/>
  <c r="K40" i="10"/>
  <c r="G40" i="10"/>
  <c r="E40" i="10"/>
  <c r="O35" i="16" s="1"/>
  <c r="AY39" i="10"/>
  <c r="K39" i="10"/>
  <c r="G39" i="10"/>
  <c r="E39" i="10"/>
  <c r="O34" i="16" s="1"/>
  <c r="AY38" i="10"/>
  <c r="K38" i="10"/>
  <c r="G38" i="10"/>
  <c r="E38" i="10"/>
  <c r="O33" i="16" s="1"/>
  <c r="AY37" i="10"/>
  <c r="K37" i="10"/>
  <c r="G37" i="10"/>
  <c r="E37" i="10"/>
  <c r="O32" i="16" s="1"/>
  <c r="AY36" i="10"/>
  <c r="K36" i="10"/>
  <c r="G36" i="10"/>
  <c r="E36" i="10"/>
  <c r="O31" i="16" s="1"/>
  <c r="AY35" i="10"/>
  <c r="K35" i="10"/>
  <c r="G35" i="10"/>
  <c r="E35" i="10"/>
  <c r="O30" i="16" s="1"/>
  <c r="AY34" i="10"/>
  <c r="K34" i="10"/>
  <c r="G34" i="10"/>
  <c r="E34" i="10"/>
  <c r="O29" i="16" s="1"/>
  <c r="AY33" i="10"/>
  <c r="K33" i="10"/>
  <c r="G33" i="10"/>
  <c r="E33" i="10"/>
  <c r="O28" i="16" s="1"/>
  <c r="AY32" i="10"/>
  <c r="K32" i="10"/>
  <c r="G32" i="10"/>
  <c r="E32" i="10"/>
  <c r="O27" i="16" s="1"/>
  <c r="AY31" i="10"/>
  <c r="K31" i="10"/>
  <c r="G31" i="10"/>
  <c r="E31" i="10"/>
  <c r="O26" i="16" s="1"/>
  <c r="AY30" i="10"/>
  <c r="K30" i="10"/>
  <c r="G30" i="10"/>
  <c r="E30" i="10"/>
  <c r="O25" i="16" s="1"/>
  <c r="AY29" i="10"/>
  <c r="K29" i="10"/>
  <c r="G29" i="10"/>
  <c r="E29" i="10"/>
  <c r="O24" i="16" s="1"/>
  <c r="AY28" i="10"/>
  <c r="K28" i="10"/>
  <c r="G28" i="10"/>
  <c r="E28" i="10"/>
  <c r="O23" i="16" s="1"/>
  <c r="AY27" i="10"/>
  <c r="K27" i="10"/>
  <c r="G27" i="10"/>
  <c r="E27" i="10"/>
  <c r="O22" i="16" s="1"/>
  <c r="AY26" i="10"/>
  <c r="K26" i="10"/>
  <c r="G26" i="10"/>
  <c r="E26" i="10"/>
  <c r="O21" i="16" s="1"/>
  <c r="AY25" i="10"/>
  <c r="K25" i="10"/>
  <c r="G25" i="10"/>
  <c r="E25" i="10"/>
  <c r="O20" i="16" s="1"/>
  <c r="AY24" i="10"/>
  <c r="K24" i="10"/>
  <c r="G24" i="10"/>
  <c r="E24" i="10"/>
  <c r="O19" i="16" s="1"/>
  <c r="AY23" i="10"/>
  <c r="K23" i="10"/>
  <c r="G23" i="10"/>
  <c r="E23" i="10"/>
  <c r="O18" i="16" s="1"/>
  <c r="AY22" i="10"/>
  <c r="K22" i="10"/>
  <c r="G22" i="10"/>
  <c r="E22" i="10"/>
  <c r="O17" i="16" s="1"/>
  <c r="AY21" i="10"/>
  <c r="K21" i="10"/>
  <c r="G21" i="10"/>
  <c r="E21" i="10"/>
  <c r="O16" i="16" s="1"/>
  <c r="AY20" i="10"/>
  <c r="K20" i="10"/>
  <c r="G20" i="10"/>
  <c r="E20" i="10"/>
  <c r="O15" i="16" s="1"/>
  <c r="AY19" i="10"/>
  <c r="K19" i="10"/>
  <c r="G19" i="10"/>
  <c r="E19" i="10"/>
  <c r="O14" i="16" s="1"/>
  <c r="AY18" i="10"/>
  <c r="K18" i="10"/>
  <c r="G18" i="10"/>
  <c r="E18" i="10"/>
  <c r="O13" i="16" s="1"/>
  <c r="AY17" i="10"/>
  <c r="K17" i="10"/>
  <c r="G17" i="10"/>
  <c r="E17" i="10"/>
  <c r="O12" i="16" s="1"/>
  <c r="AY16" i="10"/>
  <c r="K16" i="10"/>
  <c r="G16" i="10"/>
  <c r="E16" i="10"/>
  <c r="O11" i="16" s="1"/>
  <c r="AY15" i="10"/>
  <c r="K15" i="10"/>
  <c r="G15" i="10"/>
  <c r="E15" i="10"/>
  <c r="O10" i="16" s="1"/>
  <c r="AY14" i="10"/>
  <c r="K14" i="10"/>
  <c r="G14" i="10"/>
  <c r="E14" i="10"/>
  <c r="O9" i="16" s="1"/>
  <c r="AY13" i="10"/>
  <c r="K13" i="10"/>
  <c r="G13" i="10"/>
  <c r="E13" i="10"/>
  <c r="O8" i="16" s="1"/>
  <c r="AY12" i="10"/>
  <c r="K12" i="10"/>
  <c r="G12" i="10"/>
  <c r="E12" i="10"/>
  <c r="O7" i="16" s="1"/>
  <c r="AY11" i="10"/>
  <c r="K11" i="10"/>
  <c r="G11" i="10"/>
  <c r="E11" i="10"/>
  <c r="O6" i="16" s="1"/>
  <c r="BE12" i="10" l="1"/>
  <c r="CD12" i="10" s="1"/>
  <c r="BE13" i="10"/>
  <c r="BE14" i="10"/>
  <c r="BE15" i="10"/>
  <c r="BE16" i="10"/>
  <c r="BE17" i="10"/>
  <c r="BE18" i="10"/>
  <c r="BE19" i="10"/>
  <c r="BE20" i="10"/>
  <c r="BE21" i="10"/>
  <c r="BE22" i="10"/>
  <c r="BE23" i="10"/>
  <c r="BE24" i="10"/>
  <c r="BE25" i="10"/>
  <c r="BE26" i="10"/>
  <c r="BE27" i="10"/>
  <c r="BE28" i="10"/>
  <c r="BE29" i="10"/>
  <c r="BE30" i="10"/>
  <c r="BE31" i="10"/>
  <c r="BE32" i="10"/>
  <c r="BE33" i="10"/>
  <c r="BE34" i="10"/>
  <c r="BE35" i="10"/>
  <c r="BE36" i="10"/>
  <c r="BE37" i="10"/>
  <c r="BE38" i="10"/>
  <c r="BE39" i="10"/>
  <c r="BE40" i="10"/>
  <c r="BE41" i="10"/>
  <c r="BE42" i="10"/>
  <c r="BE43" i="10"/>
  <c r="BE44" i="10"/>
  <c r="BE45" i="10"/>
  <c r="BE46" i="10"/>
  <c r="BE47" i="10"/>
  <c r="BE48" i="10"/>
  <c r="BE49" i="10"/>
  <c r="BE50" i="10"/>
  <c r="BE51" i="10"/>
  <c r="BE52" i="10"/>
  <c r="BE53" i="10"/>
  <c r="BE54" i="10"/>
  <c r="BE55" i="10"/>
  <c r="BE56" i="10"/>
  <c r="BE57" i="10"/>
  <c r="BE58" i="10"/>
  <c r="BE59" i="10"/>
  <c r="BE60" i="10"/>
  <c r="BE61" i="10"/>
  <c r="BE62" i="10"/>
  <c r="BE63" i="10"/>
  <c r="BE64" i="10"/>
  <c r="BE65" i="10"/>
  <c r="BE66" i="10"/>
  <c r="BE67" i="10"/>
  <c r="BE68" i="10"/>
  <c r="BE69" i="10"/>
  <c r="BE70" i="10"/>
  <c r="BE71" i="10"/>
  <c r="BE72" i="10"/>
  <c r="BE73" i="10"/>
  <c r="BE74" i="10"/>
  <c r="BE75" i="10"/>
  <c r="BE76" i="10"/>
  <c r="CE76" i="10" s="1"/>
  <c r="BE77" i="10"/>
  <c r="BY77" i="10" s="1"/>
  <c r="BE78" i="10"/>
  <c r="BY78" i="10" s="1"/>
  <c r="BE79" i="10"/>
  <c r="CE79" i="10" s="1"/>
  <c r="BE80" i="10"/>
  <c r="CE80" i="10" s="1"/>
  <c r="BE81" i="10"/>
  <c r="BE82" i="10"/>
  <c r="BE83" i="10"/>
  <c r="CE83" i="10" s="1"/>
  <c r="BE84" i="10"/>
  <c r="CE84" i="10" s="1"/>
  <c r="CD84" i="10"/>
  <c r="BY84" i="10"/>
  <c r="BE85" i="10"/>
  <c r="BE86" i="10"/>
  <c r="CD86" i="10"/>
  <c r="BE87" i="10"/>
  <c r="CE87" i="10" s="1"/>
  <c r="BE88" i="10"/>
  <c r="CE88" i="10" s="1"/>
  <c r="BY88" i="10"/>
  <c r="BE89" i="10"/>
  <c r="BE90" i="10"/>
  <c r="CE90" i="10" s="1"/>
  <c r="BE91" i="10"/>
  <c r="BY91" i="10"/>
  <c r="BE92" i="10"/>
  <c r="BY92" i="10" s="1"/>
  <c r="BE93" i="10"/>
  <c r="BY93" i="10" s="1"/>
  <c r="BE94" i="10"/>
  <c r="BY94" i="10" s="1"/>
  <c r="BE95" i="10"/>
  <c r="BY95" i="10" s="1"/>
  <c r="BE96" i="10"/>
  <c r="BY96" i="10" s="1"/>
  <c r="BE97" i="10"/>
  <c r="BY97" i="10" s="1"/>
  <c r="BE98" i="10"/>
  <c r="BY98" i="10" s="1"/>
  <c r="BE99" i="10"/>
  <c r="BY99" i="10" s="1"/>
  <c r="BE100" i="10"/>
  <c r="BY100" i="10" s="1"/>
  <c r="BE101" i="10"/>
  <c r="BY101" i="10" s="1"/>
  <c r="BE102" i="10"/>
  <c r="BY102" i="10" s="1"/>
  <c r="BE103" i="10"/>
  <c r="BY103" i="10" s="1"/>
  <c r="BE104" i="10"/>
  <c r="BY104" i="10" s="1"/>
  <c r="BE105" i="10"/>
  <c r="BY105" i="10" s="1"/>
  <c r="BE106" i="10"/>
  <c r="BY106" i="10" s="1"/>
  <c r="BE107" i="10"/>
  <c r="BY107" i="10" s="1"/>
  <c r="BE108" i="10"/>
  <c r="BY108" i="10" s="1"/>
  <c r="BE109" i="10"/>
  <c r="CE109" i="10" s="1"/>
  <c r="BE110" i="10"/>
  <c r="BY110" i="10" s="1"/>
  <c r="BE111" i="10"/>
  <c r="CE111" i="10" s="1"/>
  <c r="BY111" i="10"/>
  <c r="BE112" i="10"/>
  <c r="BE113" i="10"/>
  <c r="CE113" i="10" s="1"/>
  <c r="BE114" i="10"/>
  <c r="BE115" i="10"/>
  <c r="CE115" i="10" s="1"/>
  <c r="CD115" i="10"/>
  <c r="BE116" i="10"/>
  <c r="BY116" i="10" s="1"/>
  <c r="BE117" i="10"/>
  <c r="CE117" i="10" s="1"/>
  <c r="BE118" i="10"/>
  <c r="BY118" i="10" s="1"/>
  <c r="BE119" i="10"/>
  <c r="CE119" i="10" s="1"/>
  <c r="BY119" i="10"/>
  <c r="BE120" i="10"/>
  <c r="BY120" i="10" s="1"/>
  <c r="BE11" i="10"/>
  <c r="H11" i="10"/>
  <c r="O11" i="10"/>
  <c r="Q11" i="10" s="1"/>
  <c r="AC11" i="10"/>
  <c r="AD11" i="10"/>
  <c r="AE11" i="10"/>
  <c r="AF11" i="10"/>
  <c r="AG11" i="10"/>
  <c r="AH11" i="10"/>
  <c r="AI11" i="10"/>
  <c r="AJ11" i="10"/>
  <c r="AK11" i="10"/>
  <c r="AL11" i="10"/>
  <c r="AM11" i="10"/>
  <c r="BA11" i="10"/>
  <c r="AP11" i="10"/>
  <c r="AQ11" i="10"/>
  <c r="AR11" i="10"/>
  <c r="AS11" i="10"/>
  <c r="AT11" i="10"/>
  <c r="AU11" i="10"/>
  <c r="H12" i="10"/>
  <c r="O12" i="10"/>
  <c r="P12" i="10" s="1"/>
  <c r="AC12" i="10"/>
  <c r="AD12" i="10"/>
  <c r="AE12" i="10"/>
  <c r="AF12" i="10"/>
  <c r="AG12" i="10"/>
  <c r="AH12" i="10"/>
  <c r="AI12" i="10"/>
  <c r="AJ12" i="10"/>
  <c r="AK12" i="10"/>
  <c r="AL12" i="10"/>
  <c r="AM12" i="10"/>
  <c r="BA12" i="10"/>
  <c r="AP12" i="10"/>
  <c r="AQ12" i="10"/>
  <c r="AR12" i="10"/>
  <c r="AS12" i="10"/>
  <c r="AT12" i="10"/>
  <c r="AU12" i="10"/>
  <c r="H13" i="10"/>
  <c r="O13" i="10"/>
  <c r="AC13" i="10"/>
  <c r="AD13" i="10"/>
  <c r="AE13" i="10"/>
  <c r="AF13" i="10"/>
  <c r="AG13" i="10"/>
  <c r="AH13" i="10"/>
  <c r="AI13" i="10"/>
  <c r="AJ13" i="10"/>
  <c r="AK13" i="10"/>
  <c r="AL13" i="10"/>
  <c r="AM13" i="10"/>
  <c r="BA13" i="10"/>
  <c r="AP13" i="10"/>
  <c r="AQ13" i="10"/>
  <c r="AR13" i="10"/>
  <c r="AS13" i="10"/>
  <c r="AT13" i="10"/>
  <c r="AU13" i="10"/>
  <c r="H14" i="10"/>
  <c r="O14" i="10"/>
  <c r="R14" i="10" s="1"/>
  <c r="AC14" i="10"/>
  <c r="AD14" i="10"/>
  <c r="AE14" i="10"/>
  <c r="AF14" i="10"/>
  <c r="AG14" i="10"/>
  <c r="AH14" i="10"/>
  <c r="AI14" i="10"/>
  <c r="AJ14" i="10"/>
  <c r="AK14" i="10"/>
  <c r="AL14" i="10"/>
  <c r="AM14" i="10"/>
  <c r="BA14" i="10"/>
  <c r="AP14" i="10"/>
  <c r="AQ14" i="10"/>
  <c r="AR14" i="10"/>
  <c r="AS14" i="10"/>
  <c r="AT14" i="10"/>
  <c r="AU14" i="10"/>
  <c r="H15" i="10"/>
  <c r="O15" i="10"/>
  <c r="Q15" i="10" s="1"/>
  <c r="AC15" i="10"/>
  <c r="AD15" i="10"/>
  <c r="AE15" i="10"/>
  <c r="AF15" i="10"/>
  <c r="AG15" i="10"/>
  <c r="AH15" i="10"/>
  <c r="AI15" i="10"/>
  <c r="AJ15" i="10"/>
  <c r="AK15" i="10"/>
  <c r="AL15" i="10"/>
  <c r="AM15" i="10"/>
  <c r="BA15" i="10"/>
  <c r="AP15" i="10"/>
  <c r="AQ15" i="10"/>
  <c r="AR15" i="10"/>
  <c r="AS15" i="10"/>
  <c r="AT15" i="10"/>
  <c r="AU15" i="10"/>
  <c r="H16" i="10"/>
  <c r="O16" i="10"/>
  <c r="P16" i="10" s="1"/>
  <c r="Q16" i="10"/>
  <c r="AC16" i="10"/>
  <c r="AD16" i="10"/>
  <c r="AE16" i="10"/>
  <c r="AF16" i="10"/>
  <c r="AG16" i="10"/>
  <c r="AH16" i="10"/>
  <c r="AI16" i="10"/>
  <c r="AJ16" i="10"/>
  <c r="AK16" i="10"/>
  <c r="AL16" i="10"/>
  <c r="AM16" i="10"/>
  <c r="BA16" i="10"/>
  <c r="AP16" i="10"/>
  <c r="AQ16" i="10"/>
  <c r="AR16" i="10"/>
  <c r="AS16" i="10"/>
  <c r="AT16" i="10"/>
  <c r="AU16" i="10"/>
  <c r="H17" i="10"/>
  <c r="O17" i="10"/>
  <c r="Q17" i="10" s="1"/>
  <c r="P17" i="10"/>
  <c r="Y17" i="10"/>
  <c r="AC17" i="10"/>
  <c r="AD17" i="10"/>
  <c r="AE17" i="10"/>
  <c r="AF17" i="10"/>
  <c r="AG17" i="10"/>
  <c r="AH17" i="10"/>
  <c r="AI17" i="10"/>
  <c r="AJ17" i="10"/>
  <c r="AK17" i="10"/>
  <c r="AL17" i="10"/>
  <c r="AM17" i="10"/>
  <c r="BA17" i="10"/>
  <c r="AP17" i="10"/>
  <c r="AQ17" i="10"/>
  <c r="AR17" i="10"/>
  <c r="AS17" i="10"/>
  <c r="AT17" i="10"/>
  <c r="AU17" i="10"/>
  <c r="H18" i="10"/>
  <c r="O18" i="10"/>
  <c r="AC18" i="10"/>
  <c r="AD18" i="10"/>
  <c r="AE18" i="10"/>
  <c r="AF18" i="10"/>
  <c r="AG18" i="10"/>
  <c r="AH18" i="10"/>
  <c r="AI18" i="10"/>
  <c r="AJ18" i="10"/>
  <c r="AK18" i="10"/>
  <c r="AL18" i="10"/>
  <c r="AM18" i="10"/>
  <c r="BA18" i="10"/>
  <c r="AP18" i="10"/>
  <c r="AQ18" i="10"/>
  <c r="AR18" i="10"/>
  <c r="AS18" i="10"/>
  <c r="AT18" i="10"/>
  <c r="AU18" i="10"/>
  <c r="H19" i="10"/>
  <c r="O19" i="10"/>
  <c r="R19" i="10" s="1"/>
  <c r="AC19" i="10"/>
  <c r="AD19" i="10"/>
  <c r="AE19" i="10"/>
  <c r="AF19" i="10"/>
  <c r="AG19" i="10"/>
  <c r="AH19" i="10"/>
  <c r="AI19" i="10"/>
  <c r="AJ19" i="10"/>
  <c r="AK19" i="10"/>
  <c r="AL19" i="10"/>
  <c r="AM19" i="10"/>
  <c r="BA19" i="10"/>
  <c r="AP19" i="10"/>
  <c r="AQ19" i="10"/>
  <c r="AR19" i="10"/>
  <c r="AS19" i="10"/>
  <c r="AT19" i="10"/>
  <c r="AU19" i="10"/>
  <c r="H20" i="10"/>
  <c r="O20" i="10"/>
  <c r="P20" i="10" s="1"/>
  <c r="Q20" i="10"/>
  <c r="AC20" i="10"/>
  <c r="AD20" i="10"/>
  <c r="AE20" i="10"/>
  <c r="AF20" i="10"/>
  <c r="AG20" i="10"/>
  <c r="AH20" i="10"/>
  <c r="AI20" i="10"/>
  <c r="AJ20" i="10"/>
  <c r="AK20" i="10"/>
  <c r="AL20" i="10"/>
  <c r="AM20" i="10"/>
  <c r="BA20" i="10"/>
  <c r="AP20" i="10"/>
  <c r="AQ20" i="10"/>
  <c r="AR20" i="10"/>
  <c r="AS20" i="10"/>
  <c r="AT20" i="10"/>
  <c r="AU20" i="10"/>
  <c r="H21" i="10"/>
  <c r="O21" i="10"/>
  <c r="Q21" i="10"/>
  <c r="AC21" i="10"/>
  <c r="AD21" i="10"/>
  <c r="AE21" i="10"/>
  <c r="AF21" i="10"/>
  <c r="AG21" i="10"/>
  <c r="AH21" i="10"/>
  <c r="AI21" i="10"/>
  <c r="AJ21" i="10"/>
  <c r="AK21" i="10"/>
  <c r="AL21" i="10"/>
  <c r="AM21" i="10"/>
  <c r="BA21" i="10"/>
  <c r="AP21" i="10"/>
  <c r="AQ21" i="10"/>
  <c r="AR21" i="10"/>
  <c r="AS21" i="10"/>
  <c r="AT21" i="10"/>
  <c r="AU21" i="10"/>
  <c r="H22" i="10"/>
  <c r="O22" i="10"/>
  <c r="AC22" i="10"/>
  <c r="AD22" i="10"/>
  <c r="AE22" i="10"/>
  <c r="AF22" i="10"/>
  <c r="AG22" i="10"/>
  <c r="AH22" i="10"/>
  <c r="AI22" i="10"/>
  <c r="AJ22" i="10"/>
  <c r="AK22" i="10"/>
  <c r="AL22" i="10"/>
  <c r="AM22" i="10"/>
  <c r="BA22" i="10"/>
  <c r="AP22" i="10"/>
  <c r="AQ22" i="10"/>
  <c r="AR22" i="10"/>
  <c r="AS22" i="10"/>
  <c r="AT22" i="10"/>
  <c r="AU22" i="10"/>
  <c r="H23" i="10"/>
  <c r="O23" i="10"/>
  <c r="R23" i="10"/>
  <c r="AC23" i="10"/>
  <c r="AD23" i="10"/>
  <c r="AE23" i="10"/>
  <c r="AF23" i="10"/>
  <c r="AG23" i="10"/>
  <c r="AH23" i="10"/>
  <c r="AI23" i="10"/>
  <c r="AJ23" i="10"/>
  <c r="AK23" i="10"/>
  <c r="AL23" i="10"/>
  <c r="AM23" i="10"/>
  <c r="BA23" i="10"/>
  <c r="AP23" i="10"/>
  <c r="AQ23" i="10"/>
  <c r="AR23" i="10"/>
  <c r="AS23" i="10"/>
  <c r="AT23" i="10"/>
  <c r="AU23" i="10"/>
  <c r="H24" i="10"/>
  <c r="O24" i="10"/>
  <c r="Q24" i="10" s="1"/>
  <c r="AC24" i="10"/>
  <c r="AD24" i="10"/>
  <c r="AE24" i="10"/>
  <c r="AF24" i="10"/>
  <c r="AG24" i="10"/>
  <c r="AH24" i="10"/>
  <c r="AI24" i="10"/>
  <c r="AJ24" i="10"/>
  <c r="AK24" i="10"/>
  <c r="AL24" i="10"/>
  <c r="AM24" i="10"/>
  <c r="BA24" i="10"/>
  <c r="AP24" i="10"/>
  <c r="AQ24" i="10"/>
  <c r="AR24" i="10"/>
  <c r="AS24" i="10"/>
  <c r="AT24" i="10"/>
  <c r="AU24" i="10"/>
  <c r="H25" i="10"/>
  <c r="O25" i="10"/>
  <c r="AC25" i="10"/>
  <c r="AD25" i="10"/>
  <c r="AE25" i="10"/>
  <c r="AF25" i="10"/>
  <c r="AG25" i="10"/>
  <c r="AH25" i="10"/>
  <c r="AI25" i="10"/>
  <c r="AJ25" i="10"/>
  <c r="AK25" i="10"/>
  <c r="AL25" i="10"/>
  <c r="AM25" i="10"/>
  <c r="BA25" i="10"/>
  <c r="AP25" i="10"/>
  <c r="AQ25" i="10"/>
  <c r="AR25" i="10"/>
  <c r="AS25" i="10"/>
  <c r="AT25" i="10"/>
  <c r="AU25" i="10"/>
  <c r="H26" i="10"/>
  <c r="O26" i="10"/>
  <c r="Q26" i="10" s="1"/>
  <c r="R26" i="10"/>
  <c r="Y26" i="10"/>
  <c r="AC26" i="10"/>
  <c r="AD26" i="10"/>
  <c r="AE26" i="10"/>
  <c r="AF26" i="10"/>
  <c r="AG26" i="10"/>
  <c r="AH26" i="10"/>
  <c r="AI26" i="10"/>
  <c r="AJ26" i="10"/>
  <c r="AK26" i="10"/>
  <c r="AL26" i="10"/>
  <c r="AM26" i="10"/>
  <c r="BA26" i="10"/>
  <c r="AP26" i="10"/>
  <c r="AQ26" i="10"/>
  <c r="AR26" i="10"/>
  <c r="AS26" i="10"/>
  <c r="AT26" i="10"/>
  <c r="AU26" i="10"/>
  <c r="H27" i="10"/>
  <c r="O27" i="10"/>
  <c r="Q27" i="10" s="1"/>
  <c r="AC27" i="10"/>
  <c r="AD27" i="10"/>
  <c r="AE27" i="10"/>
  <c r="AF27" i="10"/>
  <c r="AG27" i="10"/>
  <c r="AH27" i="10"/>
  <c r="AI27" i="10"/>
  <c r="AJ27" i="10"/>
  <c r="AK27" i="10"/>
  <c r="AL27" i="10"/>
  <c r="AM27" i="10"/>
  <c r="BA27" i="10"/>
  <c r="AP27" i="10"/>
  <c r="AQ27" i="10"/>
  <c r="AR27" i="10"/>
  <c r="AS27" i="10"/>
  <c r="AT27" i="10"/>
  <c r="AU27" i="10"/>
  <c r="AU28" i="10"/>
  <c r="AT28" i="10"/>
  <c r="AS28" i="10"/>
  <c r="AR28" i="10"/>
  <c r="AQ28" i="10"/>
  <c r="AP28" i="10"/>
  <c r="BA28" i="10"/>
  <c r="AM28" i="10"/>
  <c r="AL28" i="10"/>
  <c r="AK28" i="10"/>
  <c r="AJ28" i="10"/>
  <c r="AI28" i="10"/>
  <c r="AH28" i="10"/>
  <c r="AG28" i="10"/>
  <c r="AF28" i="10"/>
  <c r="AE28" i="10"/>
  <c r="AD28" i="10"/>
  <c r="AC28" i="10"/>
  <c r="H28" i="10"/>
  <c r="O28" i="10"/>
  <c r="R28" i="10" s="1"/>
  <c r="H29" i="10"/>
  <c r="O29" i="10"/>
  <c r="R29" i="10" s="1"/>
  <c r="AC29" i="10"/>
  <c r="AD29" i="10"/>
  <c r="AE29" i="10"/>
  <c r="AF29" i="10"/>
  <c r="AG29" i="10"/>
  <c r="AH29" i="10"/>
  <c r="AI29" i="10"/>
  <c r="AJ29" i="10"/>
  <c r="AK29" i="10"/>
  <c r="AL29" i="10"/>
  <c r="AM29" i="10"/>
  <c r="BA29" i="10"/>
  <c r="AP29" i="10"/>
  <c r="AQ29" i="10"/>
  <c r="AR29" i="10"/>
  <c r="AS29" i="10"/>
  <c r="AT29" i="10"/>
  <c r="AU29" i="10"/>
  <c r="H30" i="10"/>
  <c r="O30" i="10"/>
  <c r="AC30" i="10"/>
  <c r="AD30" i="10"/>
  <c r="AE30" i="10"/>
  <c r="AF30" i="10"/>
  <c r="AG30" i="10"/>
  <c r="AH30" i="10"/>
  <c r="AI30" i="10"/>
  <c r="AJ30" i="10"/>
  <c r="AK30" i="10"/>
  <c r="AL30" i="10"/>
  <c r="AM30" i="10"/>
  <c r="BA30" i="10"/>
  <c r="AP30" i="10"/>
  <c r="AQ30" i="10"/>
  <c r="AR30" i="10"/>
  <c r="AS30" i="10"/>
  <c r="AT30" i="10"/>
  <c r="AU30" i="10"/>
  <c r="H31" i="10"/>
  <c r="O31" i="10"/>
  <c r="AC31" i="10"/>
  <c r="AD31" i="10"/>
  <c r="AE31" i="10"/>
  <c r="AF31" i="10"/>
  <c r="AG31" i="10"/>
  <c r="AH31" i="10"/>
  <c r="AI31" i="10"/>
  <c r="AJ31" i="10"/>
  <c r="AK31" i="10"/>
  <c r="AL31" i="10"/>
  <c r="AM31" i="10"/>
  <c r="BA31" i="10"/>
  <c r="AP31" i="10"/>
  <c r="AQ31" i="10"/>
  <c r="AR31" i="10"/>
  <c r="AS31" i="10"/>
  <c r="AT31" i="10"/>
  <c r="AU31" i="10"/>
  <c r="H32" i="10"/>
  <c r="O32" i="10"/>
  <c r="P32" i="10" s="1"/>
  <c r="Q32" i="10"/>
  <c r="R32" i="10"/>
  <c r="Y32" i="10"/>
  <c r="AC32" i="10"/>
  <c r="AD32" i="10"/>
  <c r="AE32" i="10"/>
  <c r="AF32" i="10"/>
  <c r="AG32" i="10"/>
  <c r="AH32" i="10"/>
  <c r="AI32" i="10"/>
  <c r="AJ32" i="10"/>
  <c r="AK32" i="10"/>
  <c r="AL32" i="10"/>
  <c r="AM32" i="10"/>
  <c r="BA32" i="10"/>
  <c r="AP32" i="10"/>
  <c r="AQ32" i="10"/>
  <c r="AR32" i="10"/>
  <c r="AS32" i="10"/>
  <c r="AT32" i="10"/>
  <c r="AU32" i="10"/>
  <c r="H33" i="10"/>
  <c r="O33" i="10"/>
  <c r="R33" i="10" s="1"/>
  <c r="Y33" i="10"/>
  <c r="AC33" i="10"/>
  <c r="AD33" i="10"/>
  <c r="AE33" i="10"/>
  <c r="AF33" i="10"/>
  <c r="AG33" i="10"/>
  <c r="AH33" i="10"/>
  <c r="AI33" i="10"/>
  <c r="AJ33" i="10"/>
  <c r="AK33" i="10"/>
  <c r="AL33" i="10"/>
  <c r="AM33" i="10"/>
  <c r="BA33" i="10"/>
  <c r="AP33" i="10"/>
  <c r="AQ33" i="10"/>
  <c r="AR33" i="10"/>
  <c r="AS33" i="10"/>
  <c r="AT33" i="10"/>
  <c r="AU33" i="10"/>
  <c r="H34" i="10"/>
  <c r="O34" i="10"/>
  <c r="AC34" i="10"/>
  <c r="AD34" i="10"/>
  <c r="AE34" i="10"/>
  <c r="AF34" i="10"/>
  <c r="AG34" i="10"/>
  <c r="AH34" i="10"/>
  <c r="AI34" i="10"/>
  <c r="AJ34" i="10"/>
  <c r="AK34" i="10"/>
  <c r="AL34" i="10"/>
  <c r="AM34" i="10"/>
  <c r="BA34" i="10"/>
  <c r="AP34" i="10"/>
  <c r="AQ34" i="10"/>
  <c r="AR34" i="10"/>
  <c r="AS34" i="10"/>
  <c r="AT34" i="10"/>
  <c r="AU34" i="10"/>
  <c r="H35" i="10"/>
  <c r="O35" i="10"/>
  <c r="R35" i="10" s="1"/>
  <c r="Q35" i="10"/>
  <c r="AC35" i="10"/>
  <c r="AD35" i="10"/>
  <c r="AE35" i="10"/>
  <c r="AF35" i="10"/>
  <c r="AG35" i="10"/>
  <c r="AH35" i="10"/>
  <c r="AI35" i="10"/>
  <c r="AJ35" i="10"/>
  <c r="AK35" i="10"/>
  <c r="AL35" i="10"/>
  <c r="AM35" i="10"/>
  <c r="BA35" i="10"/>
  <c r="AP35" i="10"/>
  <c r="AQ35" i="10"/>
  <c r="AR35" i="10"/>
  <c r="AS35" i="10"/>
  <c r="AT35" i="10"/>
  <c r="AU35" i="10"/>
  <c r="H36" i="10"/>
  <c r="O36" i="10"/>
  <c r="P36" i="10" s="1"/>
  <c r="Y36" i="10"/>
  <c r="AC36" i="10"/>
  <c r="AD36" i="10"/>
  <c r="AE36" i="10"/>
  <c r="AF36" i="10"/>
  <c r="AG36" i="10"/>
  <c r="AH36" i="10"/>
  <c r="AI36" i="10"/>
  <c r="AJ36" i="10"/>
  <c r="AK36" i="10"/>
  <c r="AL36" i="10"/>
  <c r="AM36" i="10"/>
  <c r="BA36" i="10"/>
  <c r="AP36" i="10"/>
  <c r="AQ36" i="10"/>
  <c r="AR36" i="10"/>
  <c r="AS36" i="10"/>
  <c r="AT36" i="10"/>
  <c r="AU36" i="10"/>
  <c r="H37" i="10"/>
  <c r="O37" i="10"/>
  <c r="R37" i="10" s="1"/>
  <c r="AC37" i="10"/>
  <c r="AD37" i="10"/>
  <c r="AE37" i="10"/>
  <c r="AF37" i="10"/>
  <c r="AG37" i="10"/>
  <c r="AH37" i="10"/>
  <c r="AI37" i="10"/>
  <c r="AJ37" i="10"/>
  <c r="AK37" i="10"/>
  <c r="AL37" i="10"/>
  <c r="AM37" i="10"/>
  <c r="BA37" i="10"/>
  <c r="AP37" i="10"/>
  <c r="AQ37" i="10"/>
  <c r="AR37" i="10"/>
  <c r="AS37" i="10"/>
  <c r="AT37" i="10"/>
  <c r="AU37" i="10"/>
  <c r="H38" i="10"/>
  <c r="O38" i="10"/>
  <c r="AC38" i="10"/>
  <c r="AD38" i="10"/>
  <c r="AE38" i="10"/>
  <c r="AF38" i="10"/>
  <c r="AG38" i="10"/>
  <c r="AH38" i="10"/>
  <c r="AI38" i="10"/>
  <c r="AJ38" i="10"/>
  <c r="AK38" i="10"/>
  <c r="AL38" i="10"/>
  <c r="AM38" i="10"/>
  <c r="BA38" i="10"/>
  <c r="AP38" i="10"/>
  <c r="AQ38" i="10"/>
  <c r="AR38" i="10"/>
  <c r="AS38" i="10"/>
  <c r="AT38" i="10"/>
  <c r="AU38" i="10"/>
  <c r="H39" i="10"/>
  <c r="O39" i="10"/>
  <c r="Q39" i="10"/>
  <c r="R39" i="10"/>
  <c r="AC39" i="10"/>
  <c r="AD39" i="10"/>
  <c r="AE39" i="10"/>
  <c r="AF39" i="10"/>
  <c r="AG39" i="10"/>
  <c r="AH39" i="10"/>
  <c r="AI39" i="10"/>
  <c r="AJ39" i="10"/>
  <c r="AK39" i="10"/>
  <c r="AL39" i="10"/>
  <c r="AM39" i="10"/>
  <c r="BA39" i="10"/>
  <c r="AP39" i="10"/>
  <c r="AQ39" i="10"/>
  <c r="AR39" i="10"/>
  <c r="AS39" i="10"/>
  <c r="AT39" i="10"/>
  <c r="AU39" i="10"/>
  <c r="H40" i="10"/>
  <c r="O40" i="10"/>
  <c r="Q40" i="10" s="1"/>
  <c r="AC40" i="10"/>
  <c r="AD40" i="10"/>
  <c r="AE40" i="10"/>
  <c r="AF40" i="10"/>
  <c r="AG40" i="10"/>
  <c r="AH40" i="10"/>
  <c r="AI40" i="10"/>
  <c r="AJ40" i="10"/>
  <c r="AK40" i="10"/>
  <c r="AL40" i="10"/>
  <c r="AM40" i="10"/>
  <c r="BA40" i="10"/>
  <c r="AP40" i="10"/>
  <c r="AQ40" i="10"/>
  <c r="AR40" i="10"/>
  <c r="AS40" i="10"/>
  <c r="AT40" i="10"/>
  <c r="AU40" i="10"/>
  <c r="H41" i="10"/>
  <c r="O41" i="10"/>
  <c r="R41" i="10" s="1"/>
  <c r="Y41" i="10"/>
  <c r="AC41" i="10"/>
  <c r="AD41" i="10"/>
  <c r="AE41" i="10"/>
  <c r="AF41" i="10"/>
  <c r="AG41" i="10"/>
  <c r="AH41" i="10"/>
  <c r="AI41" i="10"/>
  <c r="AJ41" i="10"/>
  <c r="AK41" i="10"/>
  <c r="AL41" i="10"/>
  <c r="AM41" i="10"/>
  <c r="BA41" i="10"/>
  <c r="AP41" i="10"/>
  <c r="AQ41" i="10"/>
  <c r="AR41" i="10"/>
  <c r="AS41" i="10"/>
  <c r="AT41" i="10"/>
  <c r="AU41" i="10"/>
  <c r="H42" i="10"/>
  <c r="O42" i="10"/>
  <c r="AC42" i="10"/>
  <c r="AD42" i="10"/>
  <c r="AE42" i="10"/>
  <c r="AF42" i="10"/>
  <c r="AG42" i="10"/>
  <c r="AH42" i="10"/>
  <c r="AI42" i="10"/>
  <c r="AJ42" i="10"/>
  <c r="AK42" i="10"/>
  <c r="AL42" i="10"/>
  <c r="AM42" i="10"/>
  <c r="BA42" i="10"/>
  <c r="AP42" i="10"/>
  <c r="AQ42" i="10"/>
  <c r="AR42" i="10"/>
  <c r="AS42" i="10"/>
  <c r="AT42" i="10"/>
  <c r="AU42" i="10"/>
  <c r="H43" i="10"/>
  <c r="O43" i="10"/>
  <c r="Q43" i="10" s="1"/>
  <c r="AC43" i="10"/>
  <c r="AD43" i="10"/>
  <c r="AE43" i="10"/>
  <c r="AF43" i="10"/>
  <c r="AG43" i="10"/>
  <c r="AH43" i="10"/>
  <c r="AI43" i="10"/>
  <c r="AJ43" i="10"/>
  <c r="AK43" i="10"/>
  <c r="AL43" i="10"/>
  <c r="AM43" i="10"/>
  <c r="BA43" i="10"/>
  <c r="AP43" i="10"/>
  <c r="AQ43" i="10"/>
  <c r="AR43" i="10"/>
  <c r="AS43" i="10"/>
  <c r="AT43" i="10"/>
  <c r="AU43" i="10"/>
  <c r="H44" i="10"/>
  <c r="O44" i="10"/>
  <c r="P44" i="10" s="1"/>
  <c r="Y44" i="10"/>
  <c r="AC44" i="10"/>
  <c r="AD44" i="10"/>
  <c r="AE44" i="10"/>
  <c r="AF44" i="10"/>
  <c r="AG44" i="10"/>
  <c r="AH44" i="10"/>
  <c r="AI44" i="10"/>
  <c r="AJ44" i="10"/>
  <c r="AK44" i="10"/>
  <c r="AL44" i="10"/>
  <c r="AM44" i="10"/>
  <c r="BA44" i="10"/>
  <c r="AP44" i="10"/>
  <c r="AQ44" i="10"/>
  <c r="AR44" i="10"/>
  <c r="AS44" i="10"/>
  <c r="AT44" i="10"/>
  <c r="AU44" i="10"/>
  <c r="H45" i="10"/>
  <c r="O45" i="10"/>
  <c r="R45" i="10" s="1"/>
  <c r="AC45" i="10"/>
  <c r="AD45" i="10"/>
  <c r="AE45" i="10"/>
  <c r="AF45" i="10"/>
  <c r="AG45" i="10"/>
  <c r="AH45" i="10"/>
  <c r="AI45" i="10"/>
  <c r="AJ45" i="10"/>
  <c r="AK45" i="10"/>
  <c r="AL45" i="10"/>
  <c r="AM45" i="10"/>
  <c r="BA45" i="10"/>
  <c r="AP45" i="10"/>
  <c r="AQ45" i="10"/>
  <c r="AR45" i="10"/>
  <c r="AS45" i="10"/>
  <c r="AT45" i="10"/>
  <c r="AU45" i="10"/>
  <c r="H46" i="10"/>
  <c r="O46" i="10"/>
  <c r="Q46" i="10" s="1"/>
  <c r="AC46" i="10"/>
  <c r="AD46" i="10"/>
  <c r="AE46" i="10"/>
  <c r="AF46" i="10"/>
  <c r="AG46" i="10"/>
  <c r="AH46" i="10"/>
  <c r="AI46" i="10"/>
  <c r="AJ46" i="10"/>
  <c r="AK46" i="10"/>
  <c r="AL46" i="10"/>
  <c r="AM46" i="10"/>
  <c r="BA46" i="10"/>
  <c r="AP46" i="10"/>
  <c r="AQ46" i="10"/>
  <c r="AR46" i="10"/>
  <c r="AS46" i="10"/>
  <c r="AT46" i="10"/>
  <c r="AU46" i="10"/>
  <c r="H47" i="10"/>
  <c r="O47" i="10"/>
  <c r="Q47" i="10" s="1"/>
  <c r="AC47" i="10"/>
  <c r="AD47" i="10"/>
  <c r="AE47" i="10"/>
  <c r="AF47" i="10"/>
  <c r="AG47" i="10"/>
  <c r="AH47" i="10"/>
  <c r="AI47" i="10"/>
  <c r="AJ47" i="10"/>
  <c r="AK47" i="10"/>
  <c r="AL47" i="10"/>
  <c r="AM47" i="10"/>
  <c r="BA47" i="10"/>
  <c r="AP47" i="10"/>
  <c r="AQ47" i="10"/>
  <c r="AR47" i="10"/>
  <c r="AS47" i="10"/>
  <c r="AT47" i="10"/>
  <c r="AU47" i="10"/>
  <c r="H48" i="10"/>
  <c r="O48" i="10"/>
  <c r="Y48" i="10" s="1"/>
  <c r="AC48" i="10"/>
  <c r="AD48" i="10"/>
  <c r="AE48" i="10"/>
  <c r="AF48" i="10"/>
  <c r="AG48" i="10"/>
  <c r="AH48" i="10"/>
  <c r="AI48" i="10"/>
  <c r="AJ48" i="10"/>
  <c r="AK48" i="10"/>
  <c r="AL48" i="10"/>
  <c r="AM48" i="10"/>
  <c r="BA48" i="10"/>
  <c r="AP48" i="10"/>
  <c r="AQ48" i="10"/>
  <c r="AR48" i="10"/>
  <c r="AS48" i="10"/>
  <c r="AT48" i="10"/>
  <c r="AU48" i="10"/>
  <c r="H49" i="10"/>
  <c r="O49" i="10"/>
  <c r="Q49" i="10" s="1"/>
  <c r="AC49" i="10"/>
  <c r="AD49" i="10"/>
  <c r="AE49" i="10"/>
  <c r="AF49" i="10"/>
  <c r="AG49" i="10"/>
  <c r="AH49" i="10"/>
  <c r="AI49" i="10"/>
  <c r="AJ49" i="10"/>
  <c r="AK49" i="10"/>
  <c r="AL49" i="10"/>
  <c r="AM49" i="10"/>
  <c r="BA49" i="10"/>
  <c r="AP49" i="10"/>
  <c r="AQ49" i="10"/>
  <c r="AR49" i="10"/>
  <c r="AS49" i="10"/>
  <c r="AT49" i="10"/>
  <c r="AU49" i="10"/>
  <c r="H50" i="10"/>
  <c r="O50" i="10"/>
  <c r="Q50" i="10" s="1"/>
  <c r="P50" i="10"/>
  <c r="R50" i="10"/>
  <c r="Y50" i="10"/>
  <c r="AC50" i="10"/>
  <c r="AD50" i="10"/>
  <c r="AE50" i="10"/>
  <c r="AF50" i="10"/>
  <c r="AG50" i="10"/>
  <c r="AH50" i="10"/>
  <c r="AI50" i="10"/>
  <c r="AJ50" i="10"/>
  <c r="AK50" i="10"/>
  <c r="AL50" i="10"/>
  <c r="AM50" i="10"/>
  <c r="BA50" i="10"/>
  <c r="AP50" i="10"/>
  <c r="AQ50" i="10"/>
  <c r="AR50" i="10"/>
  <c r="AS50" i="10"/>
  <c r="AT50" i="10"/>
  <c r="AU50" i="10"/>
  <c r="H51" i="10"/>
  <c r="O51" i="10"/>
  <c r="Q51" i="10" s="1"/>
  <c r="AC51" i="10"/>
  <c r="AD51" i="10"/>
  <c r="AE51" i="10"/>
  <c r="AF51" i="10"/>
  <c r="AG51" i="10"/>
  <c r="AH51" i="10"/>
  <c r="AI51" i="10"/>
  <c r="AJ51" i="10"/>
  <c r="AK51" i="10"/>
  <c r="AL51" i="10"/>
  <c r="AM51" i="10"/>
  <c r="BA51" i="10"/>
  <c r="AP51" i="10"/>
  <c r="AQ51" i="10"/>
  <c r="AR51" i="10"/>
  <c r="AS51" i="10"/>
  <c r="AT51" i="10"/>
  <c r="AU51" i="10"/>
  <c r="H52" i="10"/>
  <c r="O52" i="10"/>
  <c r="Q52" i="10" s="1"/>
  <c r="Y52" i="10"/>
  <c r="AC52" i="10"/>
  <c r="AD52" i="10"/>
  <c r="AE52" i="10"/>
  <c r="AF52" i="10"/>
  <c r="AG52" i="10"/>
  <c r="AH52" i="10"/>
  <c r="AI52" i="10"/>
  <c r="AJ52" i="10"/>
  <c r="AK52" i="10"/>
  <c r="AL52" i="10"/>
  <c r="AM52" i="10"/>
  <c r="BA52" i="10"/>
  <c r="AP52" i="10"/>
  <c r="AQ52" i="10"/>
  <c r="AR52" i="10"/>
  <c r="AS52" i="10"/>
  <c r="AT52" i="10"/>
  <c r="AU52" i="10"/>
  <c r="H53" i="10"/>
  <c r="O53" i="10"/>
  <c r="Q53" i="10"/>
  <c r="AC53" i="10"/>
  <c r="AD53" i="10"/>
  <c r="AE53" i="10"/>
  <c r="AF53" i="10"/>
  <c r="AG53" i="10"/>
  <c r="AH53" i="10"/>
  <c r="AI53" i="10"/>
  <c r="AJ53" i="10"/>
  <c r="AK53" i="10"/>
  <c r="AL53" i="10"/>
  <c r="AM53" i="10"/>
  <c r="BA53" i="10"/>
  <c r="AP53" i="10"/>
  <c r="AQ53" i="10"/>
  <c r="AR53" i="10"/>
  <c r="AS53" i="10"/>
  <c r="AT53" i="10"/>
  <c r="AU53" i="10"/>
  <c r="H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C54" i="10"/>
  <c r="AD54" i="10"/>
  <c r="AE54" i="10"/>
  <c r="AF54" i="10"/>
  <c r="AK54" i="10"/>
  <c r="BA54" i="10"/>
  <c r="AP54" i="10"/>
  <c r="AQ54" i="10"/>
  <c r="AR54" i="10"/>
  <c r="AS54" i="10"/>
  <c r="AT54" i="10"/>
  <c r="AU54" i="10"/>
  <c r="H55" i="10"/>
  <c r="O55" i="10"/>
  <c r="Q55" i="10" s="1"/>
  <c r="AC55" i="10"/>
  <c r="AD55" i="10"/>
  <c r="AE55" i="10"/>
  <c r="AF55" i="10"/>
  <c r="AG55" i="10"/>
  <c r="AH55" i="10"/>
  <c r="AI55" i="10"/>
  <c r="AJ55" i="10"/>
  <c r="AK55" i="10"/>
  <c r="AL55" i="10"/>
  <c r="AM55" i="10"/>
  <c r="BA55" i="10"/>
  <c r="AP55" i="10"/>
  <c r="AQ55" i="10"/>
  <c r="AR55" i="10"/>
  <c r="AS55" i="10"/>
  <c r="AT55" i="10"/>
  <c r="AU55" i="10"/>
  <c r="H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C56" i="10"/>
  <c r="AD56" i="10"/>
  <c r="AE56" i="10"/>
  <c r="AF56" i="10" s="1"/>
  <c r="AK56" i="10"/>
  <c r="BA56" i="10"/>
  <c r="AP56" i="10"/>
  <c r="AQ56" i="10"/>
  <c r="AR56" i="10"/>
  <c r="AS56" i="10"/>
  <c r="AT56" i="10"/>
  <c r="AU56" i="10"/>
  <c r="H57" i="10"/>
  <c r="O57" i="10"/>
  <c r="AC57" i="10"/>
  <c r="AD57" i="10"/>
  <c r="AE57" i="10"/>
  <c r="AF57" i="10"/>
  <c r="AG57" i="10"/>
  <c r="AH57" i="10"/>
  <c r="AI57" i="10"/>
  <c r="AJ57" i="10"/>
  <c r="AK57" i="10"/>
  <c r="AL57" i="10"/>
  <c r="AM57" i="10"/>
  <c r="BA57" i="10"/>
  <c r="AP57" i="10"/>
  <c r="AQ57" i="10"/>
  <c r="AR57" i="10"/>
  <c r="AS57" i="10"/>
  <c r="AT57" i="10"/>
  <c r="AU57" i="10"/>
  <c r="H58" i="10"/>
  <c r="O58" i="10"/>
  <c r="Q58" i="10" s="1"/>
  <c r="P58" i="10"/>
  <c r="R58" i="10"/>
  <c r="Y58" i="10"/>
  <c r="AC58" i="10"/>
  <c r="AD58" i="10"/>
  <c r="AE58" i="10"/>
  <c r="AF58" i="10"/>
  <c r="AG58" i="10"/>
  <c r="AH58" i="10"/>
  <c r="AI58" i="10"/>
  <c r="AJ58" i="10"/>
  <c r="AK58" i="10"/>
  <c r="AL58" i="10"/>
  <c r="AM58" i="10"/>
  <c r="BA58" i="10"/>
  <c r="AP58" i="10"/>
  <c r="AQ58" i="10"/>
  <c r="AR58" i="10"/>
  <c r="AS58" i="10"/>
  <c r="AT58" i="10"/>
  <c r="AU58" i="10"/>
  <c r="H59" i="10"/>
  <c r="O59" i="10"/>
  <c r="Q59" i="10" s="1"/>
  <c r="AC59" i="10"/>
  <c r="AD59" i="10"/>
  <c r="AE59" i="10"/>
  <c r="AF59" i="10"/>
  <c r="AG59" i="10"/>
  <c r="AH59" i="10"/>
  <c r="AI59" i="10"/>
  <c r="AJ59" i="10"/>
  <c r="AK59" i="10"/>
  <c r="AL59" i="10"/>
  <c r="AM59" i="10"/>
  <c r="BA59" i="10"/>
  <c r="AP59" i="10"/>
  <c r="AQ59" i="10"/>
  <c r="AR59" i="10"/>
  <c r="AS59" i="10"/>
  <c r="AT59" i="10"/>
  <c r="AU59" i="10"/>
  <c r="H60" i="10"/>
  <c r="O60" i="10"/>
  <c r="Y60" i="10" s="1"/>
  <c r="AC60" i="10"/>
  <c r="AD60" i="10"/>
  <c r="AE60" i="10"/>
  <c r="AF60" i="10"/>
  <c r="AG60" i="10"/>
  <c r="AH60" i="10"/>
  <c r="AI60" i="10"/>
  <c r="AJ60" i="10"/>
  <c r="AK60" i="10"/>
  <c r="AL60" i="10"/>
  <c r="AM60" i="10"/>
  <c r="BA60" i="10"/>
  <c r="AP60" i="10"/>
  <c r="AQ60" i="10"/>
  <c r="AR60" i="10"/>
  <c r="AS60" i="10"/>
  <c r="AT60" i="10"/>
  <c r="AU60" i="10"/>
  <c r="H61" i="10"/>
  <c r="O61" i="10"/>
  <c r="Q61" i="10"/>
  <c r="AC61" i="10"/>
  <c r="AD61" i="10"/>
  <c r="AE61" i="10"/>
  <c r="AF61" i="10"/>
  <c r="AG61" i="10"/>
  <c r="AH61" i="10"/>
  <c r="AI61" i="10"/>
  <c r="AJ61" i="10"/>
  <c r="AK61" i="10"/>
  <c r="AL61" i="10"/>
  <c r="AM61" i="10"/>
  <c r="BA61" i="10"/>
  <c r="AP61" i="10"/>
  <c r="AQ61" i="10"/>
  <c r="AR61" i="10"/>
  <c r="AS61" i="10"/>
  <c r="AT61" i="10"/>
  <c r="AU61" i="10"/>
  <c r="H62" i="10"/>
  <c r="O62" i="10"/>
  <c r="Q62" i="10" s="1"/>
  <c r="P62" i="10"/>
  <c r="AC62" i="10"/>
  <c r="AD62" i="10"/>
  <c r="AE62" i="10"/>
  <c r="AF62" i="10"/>
  <c r="AG62" i="10"/>
  <c r="AH62" i="10"/>
  <c r="AI62" i="10"/>
  <c r="AJ62" i="10"/>
  <c r="AK62" i="10"/>
  <c r="AL62" i="10"/>
  <c r="AM62" i="10"/>
  <c r="BA62" i="10"/>
  <c r="AP62" i="10"/>
  <c r="AQ62" i="10"/>
  <c r="AR62" i="10"/>
  <c r="AS62" i="10"/>
  <c r="AT62" i="10"/>
  <c r="AU62" i="10"/>
  <c r="H63" i="10"/>
  <c r="O63" i="10"/>
  <c r="Q63" i="10" s="1"/>
  <c r="R63" i="10"/>
  <c r="S63" i="10" s="1"/>
  <c r="AC63" i="10"/>
  <c r="AD63" i="10"/>
  <c r="AE63" i="10"/>
  <c r="AF63" i="10"/>
  <c r="AG63" i="10"/>
  <c r="AH63" i="10"/>
  <c r="AI63" i="10"/>
  <c r="AJ63" i="10"/>
  <c r="AK63" i="10"/>
  <c r="AL63" i="10"/>
  <c r="AM63" i="10"/>
  <c r="BA63" i="10"/>
  <c r="AP63" i="10"/>
  <c r="AQ63" i="10"/>
  <c r="AR63" i="10"/>
  <c r="AS63" i="10"/>
  <c r="AT63" i="10"/>
  <c r="AU63" i="10"/>
  <c r="H64" i="10"/>
  <c r="O64" i="10"/>
  <c r="Y64" i="10"/>
  <c r="AC64" i="10"/>
  <c r="AD64" i="10"/>
  <c r="AE64" i="10"/>
  <c r="AF64" i="10"/>
  <c r="AG64" i="10"/>
  <c r="AH64" i="10"/>
  <c r="AI64" i="10"/>
  <c r="AJ64" i="10"/>
  <c r="AK64" i="10"/>
  <c r="AL64" i="10"/>
  <c r="AM64" i="10"/>
  <c r="BA64" i="10"/>
  <c r="AP64" i="10"/>
  <c r="AQ64" i="10"/>
  <c r="AR64" i="10"/>
  <c r="AS64" i="10"/>
  <c r="AT64" i="10"/>
  <c r="AU64" i="10"/>
  <c r="H65" i="10"/>
  <c r="O65" i="10"/>
  <c r="AC65" i="10"/>
  <c r="AD65" i="10"/>
  <c r="AE65" i="10"/>
  <c r="AF65" i="10"/>
  <c r="AG65" i="10"/>
  <c r="AH65" i="10"/>
  <c r="AI65" i="10"/>
  <c r="AJ65" i="10"/>
  <c r="AK65" i="10"/>
  <c r="AL65" i="10"/>
  <c r="AM65" i="10"/>
  <c r="BA65" i="10"/>
  <c r="AP65" i="10"/>
  <c r="AQ65" i="10"/>
  <c r="AR65" i="10"/>
  <c r="AS65" i="10"/>
  <c r="AT65" i="10"/>
  <c r="AU65" i="10"/>
  <c r="H66" i="10"/>
  <c r="O66" i="10"/>
  <c r="Q66" i="10" s="1"/>
  <c r="AC66" i="10"/>
  <c r="AD66" i="10"/>
  <c r="AE66" i="10"/>
  <c r="AF66" i="10"/>
  <c r="AG66" i="10"/>
  <c r="AH66" i="10"/>
  <c r="AI66" i="10"/>
  <c r="AJ66" i="10"/>
  <c r="AK66" i="10"/>
  <c r="AL66" i="10"/>
  <c r="AM66" i="10"/>
  <c r="BA66" i="10"/>
  <c r="AP66" i="10"/>
  <c r="AQ66" i="10"/>
  <c r="AR66" i="10"/>
  <c r="AS66" i="10"/>
  <c r="AT66" i="10"/>
  <c r="AU66" i="10"/>
  <c r="H67" i="10"/>
  <c r="O67" i="10"/>
  <c r="Q67" i="10" s="1"/>
  <c r="AC67" i="10"/>
  <c r="AD67" i="10"/>
  <c r="AE67" i="10"/>
  <c r="AF67" i="10"/>
  <c r="AG67" i="10"/>
  <c r="AH67" i="10"/>
  <c r="AI67" i="10"/>
  <c r="AJ67" i="10"/>
  <c r="AK67" i="10"/>
  <c r="AL67" i="10"/>
  <c r="AM67" i="10"/>
  <c r="BA67" i="10"/>
  <c r="AP67" i="10"/>
  <c r="AQ67" i="10"/>
  <c r="AR67" i="10"/>
  <c r="AS67" i="10"/>
  <c r="AT67" i="10"/>
  <c r="AU67" i="10"/>
  <c r="H68" i="10"/>
  <c r="O68" i="10"/>
  <c r="Q68" i="10" s="1"/>
  <c r="Y68" i="10"/>
  <c r="AC68" i="10"/>
  <c r="AD68" i="10"/>
  <c r="AE68" i="10"/>
  <c r="AF68" i="10"/>
  <c r="AG68" i="10"/>
  <c r="AH68" i="10"/>
  <c r="AI68" i="10"/>
  <c r="AJ68" i="10"/>
  <c r="AK68" i="10"/>
  <c r="AL68" i="10"/>
  <c r="AM68" i="10"/>
  <c r="BA68" i="10"/>
  <c r="AP68" i="10"/>
  <c r="AQ68" i="10"/>
  <c r="AR68" i="10"/>
  <c r="AS68" i="10"/>
  <c r="AT68" i="10"/>
  <c r="AU68" i="10"/>
  <c r="H69" i="10"/>
  <c r="O69" i="10"/>
  <c r="R69" i="10" s="1"/>
  <c r="AC69" i="10"/>
  <c r="AD69" i="10"/>
  <c r="AE69" i="10"/>
  <c r="AF69" i="10"/>
  <c r="AG69" i="10"/>
  <c r="AH69" i="10"/>
  <c r="AI69" i="10"/>
  <c r="AJ69" i="10"/>
  <c r="AK69" i="10"/>
  <c r="AL69" i="10"/>
  <c r="AM69" i="10"/>
  <c r="BA69" i="10"/>
  <c r="AP69" i="10"/>
  <c r="AQ69" i="10"/>
  <c r="AR69" i="10"/>
  <c r="AS69" i="10"/>
  <c r="AT69" i="10"/>
  <c r="AU69" i="10"/>
  <c r="H70" i="10"/>
  <c r="O70" i="10"/>
  <c r="AC70" i="10"/>
  <c r="AD70" i="10"/>
  <c r="AE70" i="10"/>
  <c r="AF70" i="10"/>
  <c r="AG70" i="10"/>
  <c r="AH70" i="10"/>
  <c r="AI70" i="10"/>
  <c r="AJ70" i="10"/>
  <c r="AK70" i="10"/>
  <c r="AL70" i="10"/>
  <c r="AM70" i="10"/>
  <c r="BA70" i="10"/>
  <c r="AP70" i="10"/>
  <c r="AQ70" i="10"/>
  <c r="AR70" i="10"/>
  <c r="AS70" i="10"/>
  <c r="AT70" i="10"/>
  <c r="AU70" i="10"/>
  <c r="H71" i="10"/>
  <c r="O71" i="10"/>
  <c r="AC71" i="10"/>
  <c r="AD71" i="10"/>
  <c r="AE71" i="10"/>
  <c r="AF71" i="10"/>
  <c r="AG71" i="10"/>
  <c r="AH71" i="10"/>
  <c r="AI71" i="10"/>
  <c r="AJ71" i="10"/>
  <c r="AK71" i="10"/>
  <c r="AL71" i="10"/>
  <c r="AM71" i="10"/>
  <c r="BA71" i="10"/>
  <c r="AP71" i="10"/>
  <c r="AQ71" i="10"/>
  <c r="AR71" i="10"/>
  <c r="AS71" i="10"/>
  <c r="AT71" i="10"/>
  <c r="AU71" i="10"/>
  <c r="H72" i="10"/>
  <c r="O72" i="10"/>
  <c r="Q72" i="10" s="1"/>
  <c r="P72" i="10"/>
  <c r="Y72" i="10"/>
  <c r="AC72" i="10"/>
  <c r="AD72" i="10"/>
  <c r="AE72" i="10"/>
  <c r="AF72" i="10"/>
  <c r="AG72" i="10"/>
  <c r="AH72" i="10"/>
  <c r="AI72" i="10"/>
  <c r="AJ72" i="10"/>
  <c r="AK72" i="10"/>
  <c r="AL72" i="10"/>
  <c r="AM72" i="10"/>
  <c r="BA72" i="10"/>
  <c r="AP72" i="10"/>
  <c r="AQ72" i="10"/>
  <c r="AR72" i="10"/>
  <c r="AS72" i="10"/>
  <c r="AT72" i="10"/>
  <c r="AU72" i="10"/>
  <c r="H73" i="10"/>
  <c r="O73" i="10"/>
  <c r="R73" i="10" s="1"/>
  <c r="P73" i="10"/>
  <c r="AC73" i="10"/>
  <c r="AD73" i="10"/>
  <c r="AE73" i="10"/>
  <c r="AF73" i="10"/>
  <c r="AG73" i="10"/>
  <c r="AH73" i="10"/>
  <c r="AI73" i="10"/>
  <c r="AJ73" i="10"/>
  <c r="AK73" i="10"/>
  <c r="AL73" i="10"/>
  <c r="AM73" i="10"/>
  <c r="BA73" i="10"/>
  <c r="AP73" i="10"/>
  <c r="AQ73" i="10"/>
  <c r="AR73" i="10"/>
  <c r="AS73" i="10"/>
  <c r="AT73" i="10"/>
  <c r="AU73" i="10"/>
  <c r="H74" i="10"/>
  <c r="O74" i="10"/>
  <c r="AC74" i="10"/>
  <c r="AD74" i="10"/>
  <c r="AE74" i="10"/>
  <c r="AF74" i="10"/>
  <c r="AG74" i="10"/>
  <c r="AH74" i="10"/>
  <c r="AI74" i="10"/>
  <c r="AJ74" i="10"/>
  <c r="AK74" i="10"/>
  <c r="AL74" i="10"/>
  <c r="AM74" i="10"/>
  <c r="BA74" i="10"/>
  <c r="AP74" i="10"/>
  <c r="AQ74" i="10"/>
  <c r="AR74" i="10"/>
  <c r="AS74" i="10"/>
  <c r="AT74" i="10"/>
  <c r="AU74" i="10"/>
  <c r="H75" i="10"/>
  <c r="O75" i="10"/>
  <c r="R75" i="10" s="1"/>
  <c r="Q75" i="10"/>
  <c r="AC75" i="10"/>
  <c r="AD75" i="10"/>
  <c r="AE75" i="10"/>
  <c r="AF75" i="10"/>
  <c r="AG75" i="10"/>
  <c r="AH75" i="10"/>
  <c r="AI75" i="10"/>
  <c r="AJ75" i="10"/>
  <c r="AK75" i="10"/>
  <c r="AL75" i="10"/>
  <c r="AM75" i="10"/>
  <c r="BA75" i="10"/>
  <c r="AP75" i="10"/>
  <c r="AQ75" i="10"/>
  <c r="AR75" i="10"/>
  <c r="AS75" i="10"/>
  <c r="AT75" i="10"/>
  <c r="AU75" i="10"/>
  <c r="H76" i="10"/>
  <c r="O76" i="10"/>
  <c r="P76" i="10" s="1"/>
  <c r="AC76" i="10"/>
  <c r="AD76" i="10"/>
  <c r="AE76" i="10"/>
  <c r="AF76" i="10"/>
  <c r="AG76" i="10"/>
  <c r="AH76" i="10"/>
  <c r="AI76" i="10"/>
  <c r="AJ76" i="10"/>
  <c r="AK76" i="10"/>
  <c r="AL76" i="10"/>
  <c r="AM76" i="10"/>
  <c r="BA76" i="10"/>
  <c r="AP76" i="10"/>
  <c r="AQ76" i="10"/>
  <c r="AR76" i="10"/>
  <c r="AS76" i="10"/>
  <c r="AT76" i="10"/>
  <c r="AU76" i="10"/>
  <c r="H77" i="10"/>
  <c r="O77" i="10"/>
  <c r="Q77" i="10" s="1"/>
  <c r="P77" i="10"/>
  <c r="Y77" i="10"/>
  <c r="AC77" i="10"/>
  <c r="AD77" i="10"/>
  <c r="AE77" i="10"/>
  <c r="AF77" i="10"/>
  <c r="AG77" i="10"/>
  <c r="AH77" i="10"/>
  <c r="AI77" i="10"/>
  <c r="AJ77" i="10"/>
  <c r="AK77" i="10"/>
  <c r="AL77" i="10"/>
  <c r="AM77" i="10"/>
  <c r="BA77" i="10"/>
  <c r="AP77" i="10"/>
  <c r="AQ77" i="10"/>
  <c r="AR77" i="10"/>
  <c r="AS77" i="10"/>
  <c r="AT77" i="10"/>
  <c r="AU77" i="10"/>
  <c r="H78" i="10"/>
  <c r="O78" i="10"/>
  <c r="R78" i="10" s="1"/>
  <c r="P78" i="10"/>
  <c r="AC78" i="10"/>
  <c r="AD78" i="10"/>
  <c r="AE78" i="10"/>
  <c r="AF78" i="10"/>
  <c r="AG78" i="10"/>
  <c r="AH78" i="10"/>
  <c r="AI78" i="10"/>
  <c r="AJ78" i="10"/>
  <c r="AK78" i="10"/>
  <c r="AL78" i="10"/>
  <c r="AM78" i="10"/>
  <c r="BA78" i="10"/>
  <c r="AP78" i="10"/>
  <c r="AQ78" i="10"/>
  <c r="AR78" i="10"/>
  <c r="AS78" i="10"/>
  <c r="AT78" i="10"/>
  <c r="AU78" i="10"/>
  <c r="H79" i="10"/>
  <c r="O79" i="10"/>
  <c r="AC79" i="10"/>
  <c r="AD79" i="10"/>
  <c r="AE79" i="10"/>
  <c r="AF79" i="10"/>
  <c r="AG79" i="10"/>
  <c r="AH79" i="10"/>
  <c r="AI79" i="10"/>
  <c r="AJ79" i="10"/>
  <c r="AK79" i="10"/>
  <c r="AL79" i="10"/>
  <c r="AM79" i="10"/>
  <c r="BA79" i="10"/>
  <c r="AP79" i="10"/>
  <c r="AQ79" i="10"/>
  <c r="AR79" i="10"/>
  <c r="AS79" i="10"/>
  <c r="AT79" i="10"/>
  <c r="AU79" i="10"/>
  <c r="H80" i="10"/>
  <c r="O80" i="10"/>
  <c r="P80" i="10" s="1"/>
  <c r="AC80" i="10"/>
  <c r="AD80" i="10"/>
  <c r="AE80" i="10"/>
  <c r="AF80" i="10"/>
  <c r="AG80" i="10"/>
  <c r="AH80" i="10"/>
  <c r="AI80" i="10"/>
  <c r="AJ80" i="10"/>
  <c r="AK80" i="10"/>
  <c r="AL80" i="10"/>
  <c r="AM80" i="10"/>
  <c r="BA80" i="10"/>
  <c r="AP80" i="10"/>
  <c r="AQ80" i="10"/>
  <c r="AR80" i="10"/>
  <c r="AS80" i="10"/>
  <c r="AT80" i="10"/>
  <c r="AU80" i="10"/>
  <c r="H81" i="10"/>
  <c r="O81" i="10"/>
  <c r="Q81" i="10"/>
  <c r="R81" i="10"/>
  <c r="AC81" i="10"/>
  <c r="AD81" i="10"/>
  <c r="AE81" i="10"/>
  <c r="AF81" i="10"/>
  <c r="AG81" i="10"/>
  <c r="AH81" i="10"/>
  <c r="AI81" i="10"/>
  <c r="AJ81" i="10"/>
  <c r="AK81" i="10"/>
  <c r="AL81" i="10"/>
  <c r="AM81" i="10"/>
  <c r="BA81" i="10"/>
  <c r="AP81" i="10"/>
  <c r="AQ81" i="10"/>
  <c r="AR81" i="10"/>
  <c r="AS81" i="10"/>
  <c r="AT81" i="10"/>
  <c r="AU81" i="10"/>
  <c r="H82" i="10"/>
  <c r="O82" i="10"/>
  <c r="Q82" i="10" s="1"/>
  <c r="AC82" i="10"/>
  <c r="AD82" i="10"/>
  <c r="AE82" i="10"/>
  <c r="AF82" i="10"/>
  <c r="AG82" i="10"/>
  <c r="AH82" i="10"/>
  <c r="AI82" i="10"/>
  <c r="AJ82" i="10"/>
  <c r="AK82" i="10"/>
  <c r="AL82" i="10"/>
  <c r="AM82" i="10"/>
  <c r="BA82" i="10"/>
  <c r="AP82" i="10"/>
  <c r="AQ82" i="10"/>
  <c r="AR82" i="10"/>
  <c r="AS82" i="10"/>
  <c r="AT82" i="10"/>
  <c r="AU82" i="10"/>
  <c r="H83" i="10"/>
  <c r="O83" i="10"/>
  <c r="R83" i="10" s="1"/>
  <c r="P83" i="10"/>
  <c r="AC83" i="10"/>
  <c r="AD83" i="10"/>
  <c r="AE83" i="10"/>
  <c r="AF83" i="10"/>
  <c r="AG83" i="10"/>
  <c r="AH83" i="10"/>
  <c r="AI83" i="10"/>
  <c r="AJ83" i="10"/>
  <c r="AK83" i="10"/>
  <c r="AL83" i="10"/>
  <c r="AM83" i="10"/>
  <c r="BA83" i="10"/>
  <c r="AP83" i="10"/>
  <c r="AQ83" i="10"/>
  <c r="AR83" i="10"/>
  <c r="AS83" i="10"/>
  <c r="AT83" i="10"/>
  <c r="AU83" i="10"/>
  <c r="H84" i="10"/>
  <c r="O84" i="10"/>
  <c r="R84" i="10" s="1"/>
  <c r="AC84" i="10"/>
  <c r="AD84" i="10"/>
  <c r="AE84" i="10"/>
  <c r="AF84" i="10"/>
  <c r="AG84" i="10"/>
  <c r="AH84" i="10"/>
  <c r="AI84" i="10"/>
  <c r="AJ84" i="10"/>
  <c r="AK84" i="10"/>
  <c r="AL84" i="10"/>
  <c r="AM84" i="10"/>
  <c r="BA84" i="10"/>
  <c r="AP84" i="10"/>
  <c r="AQ84" i="10"/>
  <c r="AR84" i="10"/>
  <c r="AS84" i="10"/>
  <c r="AT84" i="10"/>
  <c r="AU84" i="10"/>
  <c r="H85" i="10"/>
  <c r="O85" i="10"/>
  <c r="AC85" i="10"/>
  <c r="AD85" i="10"/>
  <c r="AE85" i="10"/>
  <c r="AF85" i="10"/>
  <c r="AG85" i="10"/>
  <c r="AH85" i="10"/>
  <c r="AI85" i="10"/>
  <c r="AJ85" i="10"/>
  <c r="AK85" i="10"/>
  <c r="AL85" i="10"/>
  <c r="AM85" i="10"/>
  <c r="BA85" i="10"/>
  <c r="AP85" i="10"/>
  <c r="AQ85" i="10"/>
  <c r="AR85" i="10"/>
  <c r="AS85" i="10"/>
  <c r="AT85" i="10"/>
  <c r="AU85" i="10"/>
  <c r="H86" i="10"/>
  <c r="O86" i="10"/>
  <c r="Q86" i="10" s="1"/>
  <c r="R86" i="10"/>
  <c r="Y86" i="10"/>
  <c r="AC86" i="10"/>
  <c r="AD86" i="10"/>
  <c r="AE86" i="10"/>
  <c r="AF86" i="10"/>
  <c r="AG86" i="10"/>
  <c r="AH86" i="10"/>
  <c r="AI86" i="10"/>
  <c r="AJ86" i="10"/>
  <c r="AK86" i="10"/>
  <c r="AL86" i="10"/>
  <c r="AM86" i="10"/>
  <c r="BA86" i="10"/>
  <c r="AP86" i="10"/>
  <c r="AQ86" i="10"/>
  <c r="AR86" i="10"/>
  <c r="AS86" i="10"/>
  <c r="AT86" i="10"/>
  <c r="AU86" i="10"/>
  <c r="H87" i="10"/>
  <c r="O87" i="10"/>
  <c r="R87" i="10" s="1"/>
  <c r="AC87" i="10"/>
  <c r="AD87" i="10"/>
  <c r="AE87" i="10"/>
  <c r="AF87" i="10"/>
  <c r="AG87" i="10"/>
  <c r="AH87" i="10"/>
  <c r="AI87" i="10"/>
  <c r="AJ87" i="10"/>
  <c r="AK87" i="10"/>
  <c r="AL87" i="10"/>
  <c r="AM87" i="10"/>
  <c r="BA87" i="10"/>
  <c r="AP87" i="10"/>
  <c r="AQ87" i="10"/>
  <c r="AR87" i="10"/>
  <c r="AS87" i="10"/>
  <c r="AT87" i="10"/>
  <c r="AU87" i="10"/>
  <c r="H88" i="10"/>
  <c r="O88" i="10"/>
  <c r="R88" i="10" s="1"/>
  <c r="AC88" i="10"/>
  <c r="AD88" i="10"/>
  <c r="AE88" i="10"/>
  <c r="AF88" i="10"/>
  <c r="AG88" i="10"/>
  <c r="AH88" i="10"/>
  <c r="AI88" i="10"/>
  <c r="AJ88" i="10"/>
  <c r="AK88" i="10"/>
  <c r="AL88" i="10"/>
  <c r="AM88" i="10"/>
  <c r="BA88" i="10"/>
  <c r="AP88" i="10"/>
  <c r="AQ88" i="10"/>
  <c r="AR88" i="10"/>
  <c r="AS88" i="10"/>
  <c r="AT88" i="10"/>
  <c r="AU88" i="10"/>
  <c r="H89" i="10"/>
  <c r="O89" i="10"/>
  <c r="AC89" i="10"/>
  <c r="AD89" i="10"/>
  <c r="AE89" i="10"/>
  <c r="AF89" i="10"/>
  <c r="AG89" i="10"/>
  <c r="AH89" i="10"/>
  <c r="AI89" i="10"/>
  <c r="AJ89" i="10"/>
  <c r="AK89" i="10"/>
  <c r="AL89" i="10"/>
  <c r="AM89" i="10"/>
  <c r="BA89" i="10"/>
  <c r="AP89" i="10"/>
  <c r="AQ89" i="10"/>
  <c r="AR89" i="10"/>
  <c r="AS89" i="10"/>
  <c r="AT89" i="10"/>
  <c r="AU89" i="10"/>
  <c r="H90" i="10"/>
  <c r="O90" i="10"/>
  <c r="P90" i="10" s="1"/>
  <c r="AC90" i="10"/>
  <c r="AD90" i="10"/>
  <c r="AE90" i="10"/>
  <c r="AF90" i="10"/>
  <c r="AG90" i="10"/>
  <c r="AH90" i="10"/>
  <c r="AI90" i="10"/>
  <c r="AJ90" i="10"/>
  <c r="AK90" i="10"/>
  <c r="AL90" i="10"/>
  <c r="AM90" i="10"/>
  <c r="BA90" i="10"/>
  <c r="AP90" i="10"/>
  <c r="AQ90" i="10"/>
  <c r="AR90" i="10"/>
  <c r="AS90" i="10"/>
  <c r="AT90" i="10"/>
  <c r="AU90" i="10"/>
  <c r="H91" i="10"/>
  <c r="O91" i="10"/>
  <c r="P91" i="10"/>
  <c r="Q91" i="10"/>
  <c r="R91" i="10"/>
  <c r="S91" i="10"/>
  <c r="T91" i="10"/>
  <c r="U91" i="10"/>
  <c r="V91" i="10"/>
  <c r="W91" i="10"/>
  <c r="X91" i="10"/>
  <c r="Y91" i="10"/>
  <c r="Z91" i="10"/>
  <c r="AC91" i="10"/>
  <c r="AD91" i="10"/>
  <c r="AE91" i="10"/>
  <c r="AK91" i="10"/>
  <c r="BA91" i="10"/>
  <c r="AP91" i="10"/>
  <c r="AQ91" i="10"/>
  <c r="AR91" i="10"/>
  <c r="AS91" i="10"/>
  <c r="AT91" i="10"/>
  <c r="AU91" i="10"/>
  <c r="H92" i="10"/>
  <c r="O92" i="10"/>
  <c r="R92" i="10" s="1"/>
  <c r="AC92" i="10"/>
  <c r="AD92" i="10"/>
  <c r="AE92" i="10"/>
  <c r="AF92" i="10"/>
  <c r="AG92" i="10"/>
  <c r="AH92" i="10"/>
  <c r="AI92" i="10"/>
  <c r="AJ92" i="10"/>
  <c r="AK92" i="10"/>
  <c r="AL92" i="10"/>
  <c r="AM92" i="10"/>
  <c r="BA92" i="10"/>
  <c r="AP92" i="10"/>
  <c r="AQ92" i="10"/>
  <c r="AR92" i="10"/>
  <c r="AS92" i="10"/>
  <c r="AT92" i="10"/>
  <c r="AU92" i="10"/>
  <c r="H93" i="10"/>
  <c r="O93" i="10"/>
  <c r="R93" i="10" s="1"/>
  <c r="AC93" i="10"/>
  <c r="AD93" i="10"/>
  <c r="AE93" i="10"/>
  <c r="AF93" i="10"/>
  <c r="AG93" i="10"/>
  <c r="AH93" i="10"/>
  <c r="AI93" i="10"/>
  <c r="AJ93" i="10"/>
  <c r="AK93" i="10"/>
  <c r="AL93" i="10"/>
  <c r="AM93" i="10"/>
  <c r="BA93" i="10"/>
  <c r="AP93" i="10"/>
  <c r="AQ93" i="10"/>
  <c r="AR93" i="10"/>
  <c r="AS93" i="10"/>
  <c r="AT93" i="10"/>
  <c r="AU93" i="10"/>
  <c r="H94" i="10"/>
  <c r="O94" i="10"/>
  <c r="AC94" i="10"/>
  <c r="AD94" i="10"/>
  <c r="AE94" i="10"/>
  <c r="AF94" i="10"/>
  <c r="AG94" i="10"/>
  <c r="AH94" i="10"/>
  <c r="AI94" i="10"/>
  <c r="AJ94" i="10"/>
  <c r="AK94" i="10"/>
  <c r="AL94" i="10"/>
  <c r="AM94" i="10"/>
  <c r="BA94" i="10"/>
  <c r="AP94" i="10"/>
  <c r="AQ94" i="10"/>
  <c r="AR94" i="10"/>
  <c r="AS94" i="10"/>
  <c r="AT94" i="10"/>
  <c r="AU94" i="10"/>
  <c r="H95" i="10"/>
  <c r="O95" i="10"/>
  <c r="Q95" i="10" s="1"/>
  <c r="AC95" i="10"/>
  <c r="AD95" i="10"/>
  <c r="AE95" i="10"/>
  <c r="AF95" i="10"/>
  <c r="AG95" i="10"/>
  <c r="AH95" i="10"/>
  <c r="AI95" i="10"/>
  <c r="AJ95" i="10"/>
  <c r="AK95" i="10"/>
  <c r="AL95" i="10"/>
  <c r="AM95" i="10"/>
  <c r="BA95" i="10"/>
  <c r="AP95" i="10"/>
  <c r="AQ95" i="10"/>
  <c r="AR95" i="10"/>
  <c r="AS95" i="10"/>
  <c r="AT95" i="10"/>
  <c r="AU95" i="10"/>
  <c r="H96" i="10"/>
  <c r="O96" i="10"/>
  <c r="R96" i="10" s="1"/>
  <c r="P96" i="10"/>
  <c r="AC96" i="10"/>
  <c r="AD96" i="10"/>
  <c r="AE96" i="10"/>
  <c r="AF96" i="10"/>
  <c r="AG96" i="10"/>
  <c r="AH96" i="10"/>
  <c r="AI96" i="10"/>
  <c r="AJ96" i="10"/>
  <c r="AK96" i="10"/>
  <c r="AL96" i="10"/>
  <c r="AM96" i="10"/>
  <c r="BA96" i="10"/>
  <c r="AP96" i="10"/>
  <c r="AQ96" i="10"/>
  <c r="AR96" i="10"/>
  <c r="AS96" i="10"/>
  <c r="AT96" i="10"/>
  <c r="AU96" i="10"/>
  <c r="H97" i="10"/>
  <c r="O97" i="10"/>
  <c r="R97" i="10" s="1"/>
  <c r="AC97" i="10"/>
  <c r="AD97" i="10"/>
  <c r="AE97" i="10"/>
  <c r="AF97" i="10"/>
  <c r="AG97" i="10"/>
  <c r="AH97" i="10"/>
  <c r="AI97" i="10"/>
  <c r="AJ97" i="10"/>
  <c r="AK97" i="10"/>
  <c r="AL97" i="10"/>
  <c r="AM97" i="10"/>
  <c r="BA97" i="10"/>
  <c r="AP97" i="10"/>
  <c r="AQ97" i="10"/>
  <c r="AR97" i="10"/>
  <c r="AS97" i="10"/>
  <c r="AT97" i="10"/>
  <c r="AU97" i="10"/>
  <c r="H98" i="10"/>
  <c r="O98" i="10"/>
  <c r="AC98" i="10"/>
  <c r="AD98" i="10"/>
  <c r="AE98" i="10"/>
  <c r="AF98" i="10"/>
  <c r="AG98" i="10"/>
  <c r="AH98" i="10"/>
  <c r="AI98" i="10"/>
  <c r="AJ98" i="10"/>
  <c r="AK98" i="10"/>
  <c r="AL98" i="10"/>
  <c r="AM98" i="10"/>
  <c r="BA98" i="10"/>
  <c r="AP98" i="10"/>
  <c r="AQ98" i="10"/>
  <c r="AR98" i="10"/>
  <c r="AS98" i="10"/>
  <c r="AT98" i="10"/>
  <c r="AU98" i="10"/>
  <c r="AU99" i="10"/>
  <c r="AT99" i="10"/>
  <c r="AS99" i="10"/>
  <c r="AR99" i="10"/>
  <c r="AQ99" i="10"/>
  <c r="AP99" i="10"/>
  <c r="BA99" i="10"/>
  <c r="AK99" i="10"/>
  <c r="AE99" i="10"/>
  <c r="AD99" i="10"/>
  <c r="AC99" i="10"/>
  <c r="X99" i="10"/>
  <c r="H99" i="10"/>
  <c r="O99" i="10"/>
  <c r="Y99" i="10" s="1"/>
  <c r="P99" i="10"/>
  <c r="Q99" i="10"/>
  <c r="U99" i="10" s="1"/>
  <c r="R99" i="10"/>
  <c r="H100" i="10"/>
  <c r="O100" i="10"/>
  <c r="Q100" i="10"/>
  <c r="AC100" i="10"/>
  <c r="AD100" i="10"/>
  <c r="AE100" i="10"/>
  <c r="AF100" i="10"/>
  <c r="AG100" i="10"/>
  <c r="AH100" i="10"/>
  <c r="AI100" i="10"/>
  <c r="AJ100" i="10"/>
  <c r="AK100" i="10"/>
  <c r="AL100" i="10"/>
  <c r="AM100" i="10"/>
  <c r="BA100" i="10"/>
  <c r="AP100" i="10"/>
  <c r="AQ100" i="10"/>
  <c r="AR100" i="10"/>
  <c r="AS100" i="10"/>
  <c r="AT100" i="10"/>
  <c r="AU100" i="10"/>
  <c r="H101" i="10"/>
  <c r="O101" i="10"/>
  <c r="R101" i="10" s="1"/>
  <c r="AC101" i="10"/>
  <c r="AD101" i="10"/>
  <c r="AE101" i="10"/>
  <c r="AF101" i="10"/>
  <c r="AG101" i="10"/>
  <c r="AH101" i="10"/>
  <c r="AI101" i="10"/>
  <c r="AJ101" i="10"/>
  <c r="AK101" i="10"/>
  <c r="AL101" i="10"/>
  <c r="AM101" i="10"/>
  <c r="BA101" i="10"/>
  <c r="AP101" i="10"/>
  <c r="AQ101" i="10"/>
  <c r="AR101" i="10"/>
  <c r="AS101" i="10"/>
  <c r="AT101" i="10"/>
  <c r="AU101" i="10"/>
  <c r="H102" i="10"/>
  <c r="O102" i="10"/>
  <c r="Q102" i="10" s="1"/>
  <c r="R102" i="10"/>
  <c r="AC102" i="10"/>
  <c r="AD102" i="10"/>
  <c r="AE102" i="10"/>
  <c r="AF102" i="10"/>
  <c r="AG102" i="10"/>
  <c r="AH102" i="10"/>
  <c r="AI102" i="10"/>
  <c r="AJ102" i="10"/>
  <c r="AK102" i="10"/>
  <c r="AL102" i="10"/>
  <c r="AM102" i="10"/>
  <c r="BA102" i="10"/>
  <c r="AP102" i="10"/>
  <c r="AQ102" i="10"/>
  <c r="AR102" i="10"/>
  <c r="AS102" i="10"/>
  <c r="AT102" i="10"/>
  <c r="AU102" i="10"/>
  <c r="H103" i="10"/>
  <c r="O103" i="10"/>
  <c r="P103" i="10" s="1"/>
  <c r="AC103" i="10"/>
  <c r="AD103" i="10"/>
  <c r="AE103" i="10"/>
  <c r="AF103" i="10"/>
  <c r="AG103" i="10"/>
  <c r="AH103" i="10"/>
  <c r="AI103" i="10"/>
  <c r="AJ103" i="10"/>
  <c r="AK103" i="10"/>
  <c r="AL103" i="10"/>
  <c r="AM103" i="10"/>
  <c r="BA103" i="10"/>
  <c r="AP103" i="10"/>
  <c r="AQ103" i="10"/>
  <c r="AR103" i="10"/>
  <c r="AS103" i="10"/>
  <c r="AT103" i="10"/>
  <c r="AU103" i="10"/>
  <c r="H104" i="10"/>
  <c r="O104" i="10"/>
  <c r="Q104" i="10" s="1"/>
  <c r="AC104" i="10"/>
  <c r="AD104" i="10"/>
  <c r="AE104" i="10"/>
  <c r="AF104" i="10"/>
  <c r="AG104" i="10"/>
  <c r="AH104" i="10"/>
  <c r="AI104" i="10"/>
  <c r="AJ104" i="10"/>
  <c r="AK104" i="10"/>
  <c r="AL104" i="10"/>
  <c r="AM104" i="10"/>
  <c r="BA104" i="10"/>
  <c r="AP104" i="10"/>
  <c r="AQ104" i="10"/>
  <c r="AR104" i="10"/>
  <c r="AS104" i="10"/>
  <c r="AT104" i="10"/>
  <c r="AU104" i="10"/>
  <c r="H105" i="10"/>
  <c r="O105" i="10"/>
  <c r="R105" i="10" s="1"/>
  <c r="AC105" i="10"/>
  <c r="AD105" i="10"/>
  <c r="AE105" i="10"/>
  <c r="AF105" i="10"/>
  <c r="AG105" i="10"/>
  <c r="AH105" i="10"/>
  <c r="AI105" i="10"/>
  <c r="AJ105" i="10"/>
  <c r="AK105" i="10"/>
  <c r="AL105" i="10"/>
  <c r="AM105" i="10"/>
  <c r="BA105" i="10"/>
  <c r="AP105" i="10"/>
  <c r="AQ105" i="10"/>
  <c r="AR105" i="10"/>
  <c r="AS105" i="10"/>
  <c r="AT105" i="10"/>
  <c r="AU105" i="10"/>
  <c r="H106" i="10"/>
  <c r="O106" i="10"/>
  <c r="Q106" i="10" s="1"/>
  <c r="AC106" i="10"/>
  <c r="AD106" i="10"/>
  <c r="AE106" i="10"/>
  <c r="AF106" i="10"/>
  <c r="AG106" i="10"/>
  <c r="AH106" i="10"/>
  <c r="AI106" i="10"/>
  <c r="AJ106" i="10"/>
  <c r="AK106" i="10"/>
  <c r="AL106" i="10"/>
  <c r="AM106" i="10"/>
  <c r="BA106" i="10"/>
  <c r="AP106" i="10"/>
  <c r="AQ106" i="10"/>
  <c r="AR106" i="10"/>
  <c r="AS106" i="10"/>
  <c r="AT106" i="10"/>
  <c r="AU106" i="10"/>
  <c r="H107" i="10"/>
  <c r="O107" i="10"/>
  <c r="P107" i="10" s="1"/>
  <c r="Q107" i="10"/>
  <c r="AC107" i="10"/>
  <c r="AD107" i="10"/>
  <c r="AE107" i="10"/>
  <c r="AF107" i="10"/>
  <c r="AG107" i="10"/>
  <c r="AH107" i="10"/>
  <c r="AI107" i="10"/>
  <c r="AJ107" i="10"/>
  <c r="AK107" i="10"/>
  <c r="AL107" i="10"/>
  <c r="AM107" i="10"/>
  <c r="BA107" i="10"/>
  <c r="AP107" i="10"/>
  <c r="AQ107" i="10"/>
  <c r="AR107" i="10"/>
  <c r="AS107" i="10"/>
  <c r="AT107" i="10"/>
  <c r="AU107" i="10"/>
  <c r="H108" i="10"/>
  <c r="O108" i="10"/>
  <c r="Y108" i="10" s="1"/>
  <c r="AC108" i="10"/>
  <c r="AD108" i="10"/>
  <c r="AE108" i="10"/>
  <c r="AF108" i="10"/>
  <c r="AG108" i="10"/>
  <c r="AH108" i="10"/>
  <c r="AI108" i="10"/>
  <c r="AJ108" i="10"/>
  <c r="AK108" i="10"/>
  <c r="AL108" i="10"/>
  <c r="AM108" i="10"/>
  <c r="BA108" i="10"/>
  <c r="AP108" i="10"/>
  <c r="AQ108" i="10"/>
  <c r="AR108" i="10"/>
  <c r="AS108" i="10"/>
  <c r="AT108" i="10"/>
  <c r="AU108" i="10"/>
  <c r="H109" i="10"/>
  <c r="O109" i="10"/>
  <c r="P109" i="10"/>
  <c r="Q109" i="10"/>
  <c r="R109" i="10"/>
  <c r="S109" i="10"/>
  <c r="T109" i="10"/>
  <c r="U109" i="10"/>
  <c r="V109" i="10"/>
  <c r="W109" i="10"/>
  <c r="X109" i="10"/>
  <c r="Y109" i="10"/>
  <c r="Z109" i="10"/>
  <c r="AC109" i="10"/>
  <c r="AD109" i="10"/>
  <c r="AE109" i="10"/>
  <c r="AK109" i="10"/>
  <c r="BA109" i="10"/>
  <c r="AP109" i="10"/>
  <c r="AQ109" i="10"/>
  <c r="AR109" i="10"/>
  <c r="AS109" i="10"/>
  <c r="AT109" i="10"/>
  <c r="AU109" i="10"/>
  <c r="H110" i="10"/>
  <c r="O110" i="10"/>
  <c r="P110" i="10"/>
  <c r="Q110" i="10"/>
  <c r="R110" i="10"/>
  <c r="S110" i="10"/>
  <c r="T110" i="10"/>
  <c r="U110" i="10"/>
  <c r="V110" i="10"/>
  <c r="W110" i="10"/>
  <c r="X110" i="10"/>
  <c r="Y110" i="10"/>
  <c r="Z110" i="10"/>
  <c r="AC110" i="10"/>
  <c r="AD110" i="10"/>
  <c r="AF110" i="10" s="1"/>
  <c r="AE110" i="10"/>
  <c r="AK110" i="10"/>
  <c r="BA110" i="10"/>
  <c r="AP110" i="10"/>
  <c r="AQ110" i="10"/>
  <c r="AR110" i="10"/>
  <c r="AS110" i="10"/>
  <c r="AT110" i="10"/>
  <c r="AU110" i="10"/>
  <c r="H111" i="10"/>
  <c r="O111" i="10"/>
  <c r="P111" i="10" s="1"/>
  <c r="Q111" i="10"/>
  <c r="AC111" i="10"/>
  <c r="AD111" i="10"/>
  <c r="AE111" i="10"/>
  <c r="AF111" i="10"/>
  <c r="AG111" i="10"/>
  <c r="AH111" i="10"/>
  <c r="AI111" i="10"/>
  <c r="AJ111" i="10"/>
  <c r="AK111" i="10"/>
  <c r="AL111" i="10"/>
  <c r="AM111" i="10"/>
  <c r="BA111" i="10"/>
  <c r="AP111" i="10"/>
  <c r="AQ111" i="10"/>
  <c r="AR111" i="10"/>
  <c r="AS111" i="10"/>
  <c r="AT111" i="10"/>
  <c r="AU111" i="10"/>
  <c r="H112" i="10"/>
  <c r="O112" i="10"/>
  <c r="AC112" i="10"/>
  <c r="AD112" i="10"/>
  <c r="AE112" i="10"/>
  <c r="AF112" i="10"/>
  <c r="AG112" i="10"/>
  <c r="AH112" i="10"/>
  <c r="AI112" i="10"/>
  <c r="AJ112" i="10"/>
  <c r="AK112" i="10"/>
  <c r="AL112" i="10"/>
  <c r="AM112" i="10"/>
  <c r="BA112" i="10"/>
  <c r="AP112" i="10"/>
  <c r="AQ112" i="10"/>
  <c r="AR112" i="10"/>
  <c r="AS112" i="10"/>
  <c r="AT112" i="10"/>
  <c r="AU112" i="10"/>
  <c r="H113" i="10"/>
  <c r="O113" i="10"/>
  <c r="R113" i="10" s="1"/>
  <c r="AC113" i="10"/>
  <c r="AD113" i="10"/>
  <c r="AE113" i="10"/>
  <c r="AF113" i="10"/>
  <c r="AG113" i="10"/>
  <c r="AH113" i="10"/>
  <c r="AI113" i="10"/>
  <c r="AJ113" i="10"/>
  <c r="AK113" i="10"/>
  <c r="AL113" i="10"/>
  <c r="AM113" i="10"/>
  <c r="BA113" i="10"/>
  <c r="AP113" i="10"/>
  <c r="AQ113" i="10"/>
  <c r="AR113" i="10"/>
  <c r="AS113" i="10"/>
  <c r="AT113" i="10"/>
  <c r="AU113" i="10"/>
  <c r="H114" i="10"/>
  <c r="O114" i="10"/>
  <c r="P114" i="10"/>
  <c r="Q114" i="10"/>
  <c r="R114" i="10"/>
  <c r="S114" i="10"/>
  <c r="T114" i="10"/>
  <c r="U114" i="10"/>
  <c r="V114" i="10"/>
  <c r="W114" i="10"/>
  <c r="X114" i="10"/>
  <c r="Y114" i="10"/>
  <c r="Z114" i="10"/>
  <c r="AC114" i="10"/>
  <c r="AD114" i="10"/>
  <c r="AE114" i="10"/>
  <c r="AK114" i="10"/>
  <c r="BA114" i="10"/>
  <c r="AP114" i="10"/>
  <c r="AQ114" i="10"/>
  <c r="AR114" i="10"/>
  <c r="AS114" i="10"/>
  <c r="AT114" i="10"/>
  <c r="AU114" i="10"/>
  <c r="H115" i="10"/>
  <c r="O115" i="10"/>
  <c r="P115" i="10" s="1"/>
  <c r="Q115" i="10"/>
  <c r="Y115" i="10"/>
  <c r="AC115" i="10"/>
  <c r="AD115" i="10"/>
  <c r="AE115" i="10"/>
  <c r="AF115" i="10"/>
  <c r="AG115" i="10"/>
  <c r="AH115" i="10"/>
  <c r="AI115" i="10"/>
  <c r="AJ115" i="10"/>
  <c r="AK115" i="10"/>
  <c r="AL115" i="10"/>
  <c r="AM115" i="10"/>
  <c r="BA115" i="10"/>
  <c r="AP115" i="10"/>
  <c r="AQ115" i="10"/>
  <c r="AR115" i="10"/>
  <c r="AS115" i="10"/>
  <c r="AT115" i="10"/>
  <c r="AU115" i="10"/>
  <c r="H116" i="10"/>
  <c r="O116" i="10"/>
  <c r="Y116" i="10" s="1"/>
  <c r="AC116" i="10"/>
  <c r="AD116" i="10"/>
  <c r="AE116" i="10"/>
  <c r="AF116" i="10"/>
  <c r="AG116" i="10"/>
  <c r="AH116" i="10"/>
  <c r="AI116" i="10"/>
  <c r="AJ116" i="10"/>
  <c r="AK116" i="10"/>
  <c r="AL116" i="10"/>
  <c r="AM116" i="10"/>
  <c r="BA116" i="10"/>
  <c r="AP116" i="10"/>
  <c r="AQ116" i="10"/>
  <c r="AR116" i="10"/>
  <c r="AS116" i="10"/>
  <c r="AT116" i="10"/>
  <c r="AU116" i="10"/>
  <c r="H117" i="10"/>
  <c r="O117" i="10"/>
  <c r="R117" i="10" s="1"/>
  <c r="AC117" i="10"/>
  <c r="AD117" i="10"/>
  <c r="AE117" i="10"/>
  <c r="AF117" i="10"/>
  <c r="AG117" i="10"/>
  <c r="AH117" i="10"/>
  <c r="AI117" i="10"/>
  <c r="AJ117" i="10"/>
  <c r="AK117" i="10"/>
  <c r="AL117" i="10"/>
  <c r="AM117" i="10"/>
  <c r="BA117" i="10"/>
  <c r="AP117" i="10"/>
  <c r="AQ117" i="10"/>
  <c r="AR117" i="10"/>
  <c r="AS117" i="10"/>
  <c r="AT117" i="10"/>
  <c r="AU117" i="10"/>
  <c r="H118" i="10"/>
  <c r="O118" i="10"/>
  <c r="Q118" i="10" s="1"/>
  <c r="AC118" i="10"/>
  <c r="AD118" i="10"/>
  <c r="AE118" i="10"/>
  <c r="AF118" i="10"/>
  <c r="AG118" i="10"/>
  <c r="AH118" i="10"/>
  <c r="AI118" i="10"/>
  <c r="AJ118" i="10"/>
  <c r="AK118" i="10"/>
  <c r="AL118" i="10"/>
  <c r="AM118" i="10"/>
  <c r="BA118" i="10"/>
  <c r="AP118" i="10"/>
  <c r="AQ118" i="10"/>
  <c r="AR118" i="10"/>
  <c r="AS118" i="10"/>
  <c r="AT118" i="10"/>
  <c r="AU118" i="10"/>
  <c r="AU119" i="10"/>
  <c r="AT119" i="10"/>
  <c r="H119" i="10"/>
  <c r="O119" i="10"/>
  <c r="R119" i="10" s="1"/>
  <c r="AC119" i="10"/>
  <c r="AD119" i="10"/>
  <c r="AE119" i="10"/>
  <c r="AF119" i="10"/>
  <c r="AG119" i="10"/>
  <c r="AH119" i="10"/>
  <c r="AI119" i="10"/>
  <c r="AJ119" i="10"/>
  <c r="AK119" i="10"/>
  <c r="AL119" i="10"/>
  <c r="AM119" i="10"/>
  <c r="BA119" i="10"/>
  <c r="AP119" i="10"/>
  <c r="AQ119" i="10"/>
  <c r="AR119" i="10"/>
  <c r="AS119" i="10"/>
  <c r="H120" i="10"/>
  <c r="O120" i="10"/>
  <c r="R120" i="10" s="1"/>
  <c r="Q120" i="10"/>
  <c r="S120" i="10" s="1"/>
  <c r="Y120" i="10"/>
  <c r="AC120" i="10"/>
  <c r="AD120" i="10"/>
  <c r="AE120" i="10"/>
  <c r="AF120" i="10"/>
  <c r="AG120" i="10"/>
  <c r="AH120" i="10"/>
  <c r="AI120" i="10"/>
  <c r="AJ120" i="10"/>
  <c r="AK120" i="10"/>
  <c r="AL120" i="10"/>
  <c r="AM120" i="10"/>
  <c r="BA120" i="10"/>
  <c r="AP120" i="10"/>
  <c r="AQ120" i="10"/>
  <c r="AR120" i="10"/>
  <c r="AS120" i="10"/>
  <c r="AT120" i="10"/>
  <c r="AU120" i="10"/>
  <c r="AF114" i="10" l="1"/>
  <c r="Y103" i="10"/>
  <c r="Y95" i="10"/>
  <c r="Y82" i="10"/>
  <c r="R44" i="10"/>
  <c r="Y40" i="10"/>
  <c r="R36" i="10"/>
  <c r="P120" i="10"/>
  <c r="Y111" i="10"/>
  <c r="R103" i="10"/>
  <c r="R95" i="10"/>
  <c r="S95" i="10" s="1"/>
  <c r="P86" i="10"/>
  <c r="R82" i="10"/>
  <c r="S82" i="10" s="1"/>
  <c r="Y78" i="10"/>
  <c r="R77" i="10"/>
  <c r="Y73" i="10"/>
  <c r="R72" i="10"/>
  <c r="S72" i="10" s="1"/>
  <c r="Y62" i="10"/>
  <c r="Q60" i="10"/>
  <c r="R55" i="10"/>
  <c r="Q44" i="10"/>
  <c r="S44" i="10" s="1"/>
  <c r="R40" i="10"/>
  <c r="Y37" i="10"/>
  <c r="Q36" i="10"/>
  <c r="P33" i="10"/>
  <c r="S26" i="10"/>
  <c r="Y24" i="10"/>
  <c r="Y20" i="10"/>
  <c r="R17" i="10"/>
  <c r="S17" i="10" s="1"/>
  <c r="Y14" i="10"/>
  <c r="CD119" i="10"/>
  <c r="CD117" i="10"/>
  <c r="BY115" i="10"/>
  <c r="CD113" i="10"/>
  <c r="CD111" i="10"/>
  <c r="CD109" i="10"/>
  <c r="CD88" i="10"/>
  <c r="R111" i="10"/>
  <c r="Y107" i="10"/>
  <c r="Q103" i="10"/>
  <c r="Y96" i="10"/>
  <c r="P95" i="10"/>
  <c r="Y83" i="10"/>
  <c r="P82" i="10"/>
  <c r="Q78" i="10"/>
  <c r="S78" i="10" s="1"/>
  <c r="Q73" i="10"/>
  <c r="S73" i="10" s="1"/>
  <c r="Y66" i="10"/>
  <c r="R62" i="10"/>
  <c r="S62" i="10" s="1"/>
  <c r="Y46" i="10"/>
  <c r="P40" i="10"/>
  <c r="P37" i="10"/>
  <c r="Y29" i="10"/>
  <c r="R20" i="10"/>
  <c r="P14" i="10"/>
  <c r="BY83" i="10"/>
  <c r="R12" i="10"/>
  <c r="CD83" i="10"/>
  <c r="Y92" i="10"/>
  <c r="P92" i="10"/>
  <c r="BY87" i="10"/>
  <c r="CD87" i="10"/>
  <c r="Y87" i="10"/>
  <c r="P87" i="10"/>
  <c r="R112" i="10"/>
  <c r="P112" i="10"/>
  <c r="R116" i="10"/>
  <c r="P116" i="10"/>
  <c r="Y112" i="10"/>
  <c r="R108" i="10"/>
  <c r="P108" i="10"/>
  <c r="Y104" i="10"/>
  <c r="Q98" i="10"/>
  <c r="S98" i="10" s="1"/>
  <c r="R98" i="10"/>
  <c r="Q85" i="10"/>
  <c r="R85" i="10"/>
  <c r="Q74" i="10"/>
  <c r="S74" i="10" s="1"/>
  <c r="Y74" i="10"/>
  <c r="P74" i="10"/>
  <c r="P64" i="10"/>
  <c r="R64" i="10"/>
  <c r="R57" i="10"/>
  <c r="P57" i="10"/>
  <c r="Y57" i="10"/>
  <c r="R48" i="10"/>
  <c r="S48" i="10" s="1"/>
  <c r="P48" i="10"/>
  <c r="Q38" i="10"/>
  <c r="Y38" i="10"/>
  <c r="P38" i="10"/>
  <c r="Q34" i="10"/>
  <c r="Y34" i="10"/>
  <c r="P34" i="10"/>
  <c r="CE114" i="10"/>
  <c r="CD114" i="10"/>
  <c r="CE112" i="10"/>
  <c r="CD112" i="10"/>
  <c r="CD75" i="10"/>
  <c r="BY75" i="10"/>
  <c r="CE75" i="10"/>
  <c r="CD71" i="10"/>
  <c r="BY71" i="10"/>
  <c r="CE71" i="10"/>
  <c r="CD67" i="10"/>
  <c r="BY67" i="10"/>
  <c r="CE67" i="10"/>
  <c r="CD63" i="10"/>
  <c r="BY63" i="10"/>
  <c r="CE63" i="10"/>
  <c r="CD59" i="10"/>
  <c r="BY59" i="10"/>
  <c r="CE59" i="10"/>
  <c r="CD55" i="10"/>
  <c r="BY55" i="10"/>
  <c r="CE55" i="10"/>
  <c r="CD51" i="10"/>
  <c r="BY51" i="10"/>
  <c r="CE51" i="10"/>
  <c r="CD47" i="10"/>
  <c r="BY47" i="10"/>
  <c r="CE47" i="10"/>
  <c r="CD43" i="10"/>
  <c r="BY43" i="10"/>
  <c r="CE43" i="10"/>
  <c r="CD39" i="10"/>
  <c r="BY39" i="10"/>
  <c r="CE39" i="10"/>
  <c r="CD35" i="10"/>
  <c r="BY35" i="10"/>
  <c r="CE35" i="10"/>
  <c r="CD31" i="10"/>
  <c r="BY31" i="10"/>
  <c r="CE31" i="10"/>
  <c r="CD27" i="10"/>
  <c r="BY27" i="10"/>
  <c r="CE27" i="10"/>
  <c r="CD23" i="10"/>
  <c r="BY23" i="10"/>
  <c r="CE23" i="10"/>
  <c r="CD19" i="10"/>
  <c r="BY19" i="10"/>
  <c r="CE19" i="10"/>
  <c r="CD15" i="10"/>
  <c r="BY15" i="10"/>
  <c r="CE15" i="10"/>
  <c r="R118" i="10"/>
  <c r="S118" i="10" s="1"/>
  <c r="R115" i="10"/>
  <c r="Q112" i="10"/>
  <c r="R107" i="10"/>
  <c r="S107" i="10" s="1"/>
  <c r="Q94" i="10"/>
  <c r="R94" i="10"/>
  <c r="R68" i="10"/>
  <c r="P68" i="10"/>
  <c r="R61" i="10"/>
  <c r="S61" i="10" s="1"/>
  <c r="P61" i="10"/>
  <c r="Y61" i="10"/>
  <c r="R52" i="10"/>
  <c r="S52" i="10" s="1"/>
  <c r="P52" i="10"/>
  <c r="R51" i="10"/>
  <c r="Q42" i="10"/>
  <c r="Y42" i="10"/>
  <c r="P24" i="10"/>
  <c r="R24" i="10"/>
  <c r="S24" i="10" s="1"/>
  <c r="P13" i="10"/>
  <c r="R13" i="10"/>
  <c r="Q13" i="10"/>
  <c r="CE110" i="10"/>
  <c r="CD110" i="10"/>
  <c r="CE82" i="10"/>
  <c r="BY82" i="10"/>
  <c r="CD82" i="10"/>
  <c r="CD74" i="10"/>
  <c r="BY74" i="10"/>
  <c r="CE74" i="10"/>
  <c r="CD70" i="10"/>
  <c r="BY70" i="10"/>
  <c r="CE70" i="10"/>
  <c r="CD66" i="10"/>
  <c r="BY66" i="10"/>
  <c r="CE66" i="10"/>
  <c r="CD62" i="10"/>
  <c r="BY62" i="10"/>
  <c r="CE62" i="10"/>
  <c r="CD58" i="10"/>
  <c r="BY58" i="10"/>
  <c r="CE58" i="10"/>
  <c r="CD54" i="10"/>
  <c r="BY54" i="10"/>
  <c r="CE54" i="10"/>
  <c r="CD50" i="10"/>
  <c r="BY50" i="10"/>
  <c r="CE50" i="10"/>
  <c r="CD46" i="10"/>
  <c r="BY46" i="10"/>
  <c r="CE46" i="10"/>
  <c r="CD42" i="10"/>
  <c r="BY42" i="10"/>
  <c r="CE42" i="10"/>
  <c r="CD38" i="10"/>
  <c r="BY38" i="10"/>
  <c r="CE38" i="10"/>
  <c r="CD34" i="10"/>
  <c r="BY34" i="10"/>
  <c r="CE34" i="10"/>
  <c r="CD30" i="10"/>
  <c r="BY30" i="10"/>
  <c r="CE30" i="10"/>
  <c r="CD26" i="10"/>
  <c r="BY26" i="10"/>
  <c r="CE26" i="10"/>
  <c r="CD22" i="10"/>
  <c r="BY22" i="10"/>
  <c r="CE22" i="10"/>
  <c r="CD18" i="10"/>
  <c r="BY18" i="10"/>
  <c r="CE18" i="10"/>
  <c r="CD14" i="10"/>
  <c r="BY14" i="10"/>
  <c r="CE14" i="10"/>
  <c r="R104" i="10"/>
  <c r="S104" i="10" s="1"/>
  <c r="P104" i="10"/>
  <c r="R65" i="10"/>
  <c r="Y65" i="10"/>
  <c r="R49" i="10"/>
  <c r="S49" i="10" s="1"/>
  <c r="Y49" i="10"/>
  <c r="P49" i="10"/>
  <c r="Q30" i="10"/>
  <c r="Y30" i="10"/>
  <c r="Q28" i="10"/>
  <c r="S28" i="10" s="1"/>
  <c r="P28" i="10"/>
  <c r="Y28" i="10"/>
  <c r="CE120" i="10"/>
  <c r="CD120" i="10"/>
  <c r="CE85" i="10"/>
  <c r="CD85" i="10"/>
  <c r="BY85" i="10"/>
  <c r="CD73" i="10"/>
  <c r="BY73" i="10"/>
  <c r="CE73" i="10"/>
  <c r="CD69" i="10"/>
  <c r="BY69" i="10"/>
  <c r="CE69" i="10"/>
  <c r="CD65" i="10"/>
  <c r="BY65" i="10"/>
  <c r="CE65" i="10"/>
  <c r="CD61" i="10"/>
  <c r="BY61" i="10"/>
  <c r="CE61" i="10"/>
  <c r="CD57" i="10"/>
  <c r="BY57" i="10"/>
  <c r="CE57" i="10"/>
  <c r="CD53" i="10"/>
  <c r="BY53" i="10"/>
  <c r="CE53" i="10"/>
  <c r="CD49" i="10"/>
  <c r="BY49" i="10"/>
  <c r="CE49" i="10"/>
  <c r="CD45" i="10"/>
  <c r="BY45" i="10"/>
  <c r="CE45" i="10"/>
  <c r="CD41" i="10"/>
  <c r="BY41" i="10"/>
  <c r="CE41" i="10"/>
  <c r="CD37" i="10"/>
  <c r="BY37" i="10"/>
  <c r="CE37" i="10"/>
  <c r="CD33" i="10"/>
  <c r="BY33" i="10"/>
  <c r="CE33" i="10"/>
  <c r="CD29" i="10"/>
  <c r="BY29" i="10"/>
  <c r="CE29" i="10"/>
  <c r="CD25" i="10"/>
  <c r="BY25" i="10"/>
  <c r="CE25" i="10"/>
  <c r="CD21" i="10"/>
  <c r="BY21" i="10"/>
  <c r="CE21" i="10"/>
  <c r="CD17" i="10"/>
  <c r="BY17" i="10"/>
  <c r="CE17" i="10"/>
  <c r="CD13" i="10"/>
  <c r="BY13" i="10"/>
  <c r="CE13" i="10"/>
  <c r="Q116" i="10"/>
  <c r="Q108" i="10"/>
  <c r="S108" i="10" s="1"/>
  <c r="R106" i="10"/>
  <c r="R100" i="10"/>
  <c r="S100" i="10" s="1"/>
  <c r="Y100" i="10"/>
  <c r="P100" i="10"/>
  <c r="Q89" i="10"/>
  <c r="R89" i="10"/>
  <c r="S89" i="10" s="1"/>
  <c r="P79" i="10"/>
  <c r="Y79" i="10"/>
  <c r="R74" i="10"/>
  <c r="Q70" i="10"/>
  <c r="Y70" i="10"/>
  <c r="Q64" i="10"/>
  <c r="P60" i="10"/>
  <c r="R60" i="10"/>
  <c r="S60" i="10" s="1"/>
  <c r="R59" i="10"/>
  <c r="S59" i="10" s="1"/>
  <c r="Q57" i="10"/>
  <c r="S57" i="10" s="1"/>
  <c r="R53" i="10"/>
  <c r="S53" i="10" s="1"/>
  <c r="Y53" i="10"/>
  <c r="P53" i="10"/>
  <c r="Q48" i="10"/>
  <c r="R38" i="10"/>
  <c r="S38" i="10" s="1"/>
  <c r="R34" i="10"/>
  <c r="R25" i="10"/>
  <c r="Q25" i="10"/>
  <c r="Y25" i="10"/>
  <c r="R21" i="10"/>
  <c r="S21" i="10" s="1"/>
  <c r="P21" i="10"/>
  <c r="Y21" i="10"/>
  <c r="CE118" i="10"/>
  <c r="CD118" i="10"/>
  <c r="CE116" i="10"/>
  <c r="CD116" i="10"/>
  <c r="BY114" i="10"/>
  <c r="BY112" i="10"/>
  <c r="CD72" i="10"/>
  <c r="BY72" i="10"/>
  <c r="CE72" i="10"/>
  <c r="CD68" i="10"/>
  <c r="BY68" i="10"/>
  <c r="CE68" i="10"/>
  <c r="CD64" i="10"/>
  <c r="BY64" i="10"/>
  <c r="CE64" i="10"/>
  <c r="CD60" i="10"/>
  <c r="BY60" i="10"/>
  <c r="CE60" i="10"/>
  <c r="CD56" i="10"/>
  <c r="BY56" i="10"/>
  <c r="CE56" i="10"/>
  <c r="CD52" i="10"/>
  <c r="BY52" i="10"/>
  <c r="CE52" i="10"/>
  <c r="CD48" i="10"/>
  <c r="BY48" i="10"/>
  <c r="CE48" i="10"/>
  <c r="CD44" i="10"/>
  <c r="BY44" i="10"/>
  <c r="CE44" i="10"/>
  <c r="CD40" i="10"/>
  <c r="BY40" i="10"/>
  <c r="CE40" i="10"/>
  <c r="CD36" i="10"/>
  <c r="BY36" i="10"/>
  <c r="CE36" i="10"/>
  <c r="CD32" i="10"/>
  <c r="BY32" i="10"/>
  <c r="CE32" i="10"/>
  <c r="CD28" i="10"/>
  <c r="BY28" i="10"/>
  <c r="CE28" i="10"/>
  <c r="CD24" i="10"/>
  <c r="BY24" i="10"/>
  <c r="CE24" i="10"/>
  <c r="CD20" i="10"/>
  <c r="BY20" i="10"/>
  <c r="CE20" i="10"/>
  <c r="CD16" i="10"/>
  <c r="BY16" i="10"/>
  <c r="CE16" i="10"/>
  <c r="Q96" i="10"/>
  <c r="S96" i="10" s="1"/>
  <c r="Q92" i="10"/>
  <c r="S92" i="10" s="1"/>
  <c r="AF91" i="10"/>
  <c r="Q87" i="10"/>
  <c r="S87" i="10" s="1"/>
  <c r="Q83" i="10"/>
  <c r="S83" i="10" s="1"/>
  <c r="S39" i="10"/>
  <c r="BY117" i="10"/>
  <c r="BY113" i="10"/>
  <c r="BY109" i="10"/>
  <c r="CE108" i="10"/>
  <c r="CD108" i="10"/>
  <c r="CE106" i="10"/>
  <c r="CD106" i="10"/>
  <c r="CE104" i="10"/>
  <c r="CD104" i="10"/>
  <c r="CE102" i="10"/>
  <c r="CD102" i="10"/>
  <c r="CE100" i="10"/>
  <c r="CD100" i="10"/>
  <c r="CE98" i="10"/>
  <c r="CD98" i="10"/>
  <c r="CE96" i="10"/>
  <c r="CD96" i="10"/>
  <c r="CE94" i="10"/>
  <c r="CD94" i="10"/>
  <c r="CE92" i="10"/>
  <c r="CD92" i="10"/>
  <c r="CE89" i="10"/>
  <c r="CD89" i="10"/>
  <c r="BY89" i="10"/>
  <c r="CE86" i="10"/>
  <c r="BY86" i="10"/>
  <c r="Q37" i="10"/>
  <c r="S37" i="10" s="1"/>
  <c r="Q33" i="10"/>
  <c r="S33" i="10" s="1"/>
  <c r="R16" i="10"/>
  <c r="CE107" i="10"/>
  <c r="CD107" i="10"/>
  <c r="CE105" i="10"/>
  <c r="CD105" i="10"/>
  <c r="CE103" i="10"/>
  <c r="CD103" i="10"/>
  <c r="CE101" i="10"/>
  <c r="CD101" i="10"/>
  <c r="CE99" i="10"/>
  <c r="CD99" i="10"/>
  <c r="CE97" i="10"/>
  <c r="CD97" i="10"/>
  <c r="CE95" i="10"/>
  <c r="CD95" i="10"/>
  <c r="CE93" i="10"/>
  <c r="CD93" i="10"/>
  <c r="CE91" i="10"/>
  <c r="CD91" i="10"/>
  <c r="CE81" i="10"/>
  <c r="CD81" i="10"/>
  <c r="BY81" i="10"/>
  <c r="CE12" i="10"/>
  <c r="S115" i="10"/>
  <c r="S111" i="10"/>
  <c r="AF109" i="10"/>
  <c r="S106" i="10"/>
  <c r="S103" i="10"/>
  <c r="S102" i="10"/>
  <c r="S86" i="10"/>
  <c r="S85" i="10"/>
  <c r="S81" i="10"/>
  <c r="S77" i="10"/>
  <c r="S75" i="10"/>
  <c r="S58" i="10"/>
  <c r="S55" i="10"/>
  <c r="S51" i="10"/>
  <c r="S50" i="10"/>
  <c r="S36" i="10"/>
  <c r="S35" i="10"/>
  <c r="S32" i="10"/>
  <c r="S16" i="10"/>
  <c r="P71" i="10"/>
  <c r="Y71" i="10"/>
  <c r="P31" i="10"/>
  <c r="Y31" i="10"/>
  <c r="R22" i="10"/>
  <c r="Q22" i="10"/>
  <c r="Q119" i="10"/>
  <c r="S119" i="10" s="1"/>
  <c r="Y118" i="10"/>
  <c r="P118" i="10"/>
  <c r="Q117" i="10"/>
  <c r="S117" i="10" s="1"/>
  <c r="Q113" i="10"/>
  <c r="S113" i="10" s="1"/>
  <c r="Y106" i="10"/>
  <c r="P106" i="10"/>
  <c r="Q105" i="10"/>
  <c r="S105" i="10" s="1"/>
  <c r="Y102" i="10"/>
  <c r="P102" i="10"/>
  <c r="Q101" i="10"/>
  <c r="S101" i="10" s="1"/>
  <c r="Y98" i="10"/>
  <c r="P98" i="10"/>
  <c r="Q97" i="10"/>
  <c r="S97" i="10" s="1"/>
  <c r="Y94" i="10"/>
  <c r="P94" i="10"/>
  <c r="Q93" i="10"/>
  <c r="S93" i="10" s="1"/>
  <c r="Y89" i="10"/>
  <c r="P89" i="10"/>
  <c r="Q88" i="10"/>
  <c r="S88" i="10" s="1"/>
  <c r="Y85" i="10"/>
  <c r="P85" i="10"/>
  <c r="Q84" i="10"/>
  <c r="S84" i="10" s="1"/>
  <c r="R71" i="10"/>
  <c r="R70" i="10"/>
  <c r="S70" i="10" s="1"/>
  <c r="Q69" i="10"/>
  <c r="S69" i="10" s="1"/>
  <c r="S68" i="10"/>
  <c r="P66" i="10"/>
  <c r="P65" i="10"/>
  <c r="P63" i="10"/>
  <c r="Y63" i="10"/>
  <c r="R47" i="10"/>
  <c r="S47" i="10" s="1"/>
  <c r="R46" i="10"/>
  <c r="S46" i="10" s="1"/>
  <c r="Q45" i="10"/>
  <c r="S45" i="10" s="1"/>
  <c r="P42" i="10"/>
  <c r="P41" i="10"/>
  <c r="P39" i="10"/>
  <c r="Y39" i="10"/>
  <c r="R31" i="10"/>
  <c r="R30" i="10"/>
  <c r="S30" i="10" s="1"/>
  <c r="Q29" i="10"/>
  <c r="S29" i="10" s="1"/>
  <c r="P26" i="10"/>
  <c r="P25" i="10"/>
  <c r="Y119" i="10"/>
  <c r="P119" i="10"/>
  <c r="Y117" i="10"/>
  <c r="P117" i="10"/>
  <c r="Y113" i="10"/>
  <c r="P113" i="10"/>
  <c r="Y105" i="10"/>
  <c r="P105" i="10"/>
  <c r="Y101" i="10"/>
  <c r="P101" i="10"/>
  <c r="Y97" i="10"/>
  <c r="P97" i="10"/>
  <c r="Y93" i="10"/>
  <c r="P93" i="10"/>
  <c r="Y88" i="10"/>
  <c r="P88" i="10"/>
  <c r="Y84" i="10"/>
  <c r="P84" i="10"/>
  <c r="Q71" i="10"/>
  <c r="P70" i="10"/>
  <c r="P69" i="10"/>
  <c r="P67" i="10"/>
  <c r="Y67" i="10"/>
  <c r="P46" i="10"/>
  <c r="P45" i="10"/>
  <c r="P43" i="10"/>
  <c r="Y43" i="10"/>
  <c r="Q31" i="10"/>
  <c r="S31" i="10" s="1"/>
  <c r="P30" i="10"/>
  <c r="P29" i="10"/>
  <c r="P27" i="10"/>
  <c r="Y27" i="10"/>
  <c r="P22" i="10"/>
  <c r="Y69" i="10"/>
  <c r="P47" i="10"/>
  <c r="Y47" i="10"/>
  <c r="Y45" i="10"/>
  <c r="Q19" i="10"/>
  <c r="S19" i="10" s="1"/>
  <c r="P19" i="10"/>
  <c r="Y19" i="10"/>
  <c r="P81" i="10"/>
  <c r="Y81" i="10"/>
  <c r="P75" i="10"/>
  <c r="Y75" i="10"/>
  <c r="R67" i="10"/>
  <c r="S67" i="10" s="1"/>
  <c r="R66" i="10"/>
  <c r="S66" i="10" s="1"/>
  <c r="Q65" i="10"/>
  <c r="P59" i="10"/>
  <c r="Y59" i="10"/>
  <c r="P55" i="10"/>
  <c r="Y55" i="10"/>
  <c r="P51" i="10"/>
  <c r="Y51" i="10"/>
  <c r="R43" i="10"/>
  <c r="S43" i="10" s="1"/>
  <c r="R42" i="10"/>
  <c r="S42" i="10" s="1"/>
  <c r="Q41" i="10"/>
  <c r="S41" i="10" s="1"/>
  <c r="S40" i="10"/>
  <c r="P35" i="10"/>
  <c r="Y35" i="10"/>
  <c r="R27" i="10"/>
  <c r="S27" i="10" s="1"/>
  <c r="Q23" i="10"/>
  <c r="S23" i="10" s="1"/>
  <c r="P23" i="10"/>
  <c r="Y23" i="10"/>
  <c r="Y22" i="10"/>
  <c r="S20" i="10"/>
  <c r="R18" i="10"/>
  <c r="P18" i="10"/>
  <c r="Y18" i="10"/>
  <c r="Q18" i="10"/>
  <c r="S18" i="10" s="1"/>
  <c r="Y15" i="10"/>
  <c r="P15" i="10"/>
  <c r="Q14" i="10"/>
  <c r="S14" i="10" s="1"/>
  <c r="Y11" i="10"/>
  <c r="P11" i="10"/>
  <c r="CD78" i="10"/>
  <c r="CD77" i="10"/>
  <c r="BY12" i="10"/>
  <c r="CE78" i="10"/>
  <c r="CE77" i="10"/>
  <c r="R15" i="10"/>
  <c r="S15" i="10" s="1"/>
  <c r="Y13" i="10"/>
  <c r="Q12" i="10"/>
  <c r="R11" i="10"/>
  <c r="S11" i="10" s="1"/>
  <c r="Y16" i="10"/>
  <c r="Y12" i="10"/>
  <c r="Y90" i="10"/>
  <c r="Q90" i="10"/>
  <c r="CD90" i="10"/>
  <c r="R90" i="10"/>
  <c r="S90" i="10" s="1"/>
  <c r="BY90" i="10"/>
  <c r="BY80" i="10"/>
  <c r="CD80" i="10"/>
  <c r="Y80" i="10"/>
  <c r="Q80" i="10"/>
  <c r="R80" i="10"/>
  <c r="BY79" i="10"/>
  <c r="Q79" i="10"/>
  <c r="CD79" i="10"/>
  <c r="R79" i="10"/>
  <c r="CD76" i="10"/>
  <c r="BY76" i="10"/>
  <c r="Y76" i="10"/>
  <c r="Q76" i="10"/>
  <c r="R76" i="10"/>
  <c r="CE11" i="10"/>
  <c r="CD11" i="10"/>
  <c r="BP11" i="10"/>
  <c r="BY11" i="10"/>
  <c r="BI11" i="10"/>
  <c r="W99" i="10"/>
  <c r="Z99" i="10"/>
  <c r="S99" i="10"/>
  <c r="V99" i="10" s="1"/>
  <c r="T99" i="10"/>
  <c r="AF99" i="10"/>
  <c r="S13" i="10" l="1"/>
  <c r="S65" i="10"/>
  <c r="S12" i="10"/>
  <c r="S25" i="10"/>
  <c r="S64" i="10"/>
  <c r="S94" i="10"/>
  <c r="S34" i="10"/>
  <c r="S22" i="10"/>
  <c r="S116" i="10"/>
  <c r="S112" i="10"/>
  <c r="S79" i="10"/>
  <c r="S80" i="10"/>
  <c r="S71" i="10"/>
  <c r="S76" i="10"/>
  <c r="BU11" i="10" l="1"/>
  <c r="BL11" i="10"/>
  <c r="N29" i="7"/>
  <c r="N28" i="7"/>
  <c r="N7" i="7"/>
  <c r="I14" i="7"/>
  <c r="D14" i="7"/>
  <c r="N30" i="7" l="1"/>
  <c r="N32" i="7" s="1"/>
  <c r="N31" i="7" l="1"/>
  <c r="I7" i="7" l="1"/>
  <c r="D7" i="7" l="1"/>
  <c r="M2" i="7"/>
  <c r="F243" i="7"/>
  <c r="F244" i="7"/>
  <c r="F245" i="7"/>
  <c r="F246" i="7"/>
  <c r="F247" i="7"/>
  <c r="F248" i="7"/>
  <c r="F249" i="7"/>
  <c r="F250" i="7"/>
  <c r="F251" i="7"/>
  <c r="F252" i="7"/>
  <c r="B241" i="7"/>
  <c r="D241" i="7" s="1"/>
  <c r="B242" i="7"/>
  <c r="D242" i="7" s="1"/>
  <c r="B243" i="7"/>
  <c r="D243" i="7" s="1"/>
  <c r="B244" i="7"/>
  <c r="D244" i="7" s="1"/>
  <c r="B245" i="7"/>
  <c r="D245" i="7" s="1"/>
  <c r="B246" i="7"/>
  <c r="D246" i="7" s="1"/>
  <c r="B247" i="7"/>
  <c r="D247" i="7" s="1"/>
  <c r="B248" i="7"/>
  <c r="D248" i="7" s="1"/>
  <c r="B249" i="7"/>
  <c r="D249" i="7" s="1"/>
  <c r="B250" i="7"/>
  <c r="D250" i="7" s="1"/>
  <c r="B251" i="7"/>
  <c r="D251" i="7" s="1"/>
  <c r="B252" i="7"/>
  <c r="D252" i="7" s="1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B226" i="7"/>
  <c r="D226" i="7" s="1"/>
  <c r="B227" i="7"/>
  <c r="D227" i="7" s="1"/>
  <c r="B228" i="7"/>
  <c r="D228" i="7" s="1"/>
  <c r="B229" i="7"/>
  <c r="D229" i="7" s="1"/>
  <c r="B230" i="7"/>
  <c r="D230" i="7" s="1"/>
  <c r="B231" i="7"/>
  <c r="D231" i="7" s="1"/>
  <c r="B232" i="7"/>
  <c r="D232" i="7" s="1"/>
  <c r="B233" i="7"/>
  <c r="D233" i="7" s="1"/>
  <c r="B234" i="7"/>
  <c r="D234" i="7" s="1"/>
  <c r="B235" i="7"/>
  <c r="D235" i="7" s="1"/>
  <c r="B236" i="7"/>
  <c r="D236" i="7" s="1"/>
  <c r="B237" i="7"/>
  <c r="D237" i="7" s="1"/>
  <c r="B238" i="7"/>
  <c r="D238" i="7" s="1"/>
  <c r="B239" i="7"/>
  <c r="D239" i="7" s="1"/>
  <c r="B240" i="7"/>
  <c r="D240" i="7" s="1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B208" i="7"/>
  <c r="D208" i="7" s="1"/>
  <c r="B209" i="7"/>
  <c r="D209" i="7" s="1"/>
  <c r="B210" i="7"/>
  <c r="D210" i="7" s="1"/>
  <c r="B211" i="7"/>
  <c r="D211" i="7" s="1"/>
  <c r="B212" i="7"/>
  <c r="D212" i="7" s="1"/>
  <c r="B213" i="7"/>
  <c r="D213" i="7" s="1"/>
  <c r="B214" i="7"/>
  <c r="D214" i="7" s="1"/>
  <c r="B215" i="7"/>
  <c r="D215" i="7" s="1"/>
  <c r="B216" i="7"/>
  <c r="D216" i="7" s="1"/>
  <c r="B217" i="7"/>
  <c r="D217" i="7" s="1"/>
  <c r="B218" i="7"/>
  <c r="D218" i="7" s="1"/>
  <c r="B219" i="7"/>
  <c r="D219" i="7" s="1"/>
  <c r="B220" i="7"/>
  <c r="D220" i="7" s="1"/>
  <c r="B221" i="7"/>
  <c r="D221" i="7" s="1"/>
  <c r="B222" i="7"/>
  <c r="D222" i="7" s="1"/>
  <c r="B223" i="7"/>
  <c r="D223" i="7" s="1"/>
  <c r="B224" i="7"/>
  <c r="D224" i="7" s="1"/>
  <c r="B225" i="7"/>
  <c r="D225" i="7" s="1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B193" i="7"/>
  <c r="D193" i="7" s="1"/>
  <c r="B194" i="7"/>
  <c r="D194" i="7" s="1"/>
  <c r="B195" i="7"/>
  <c r="D195" i="7" s="1"/>
  <c r="B196" i="7"/>
  <c r="D196" i="7" s="1"/>
  <c r="B197" i="7"/>
  <c r="D197" i="7" s="1"/>
  <c r="B198" i="7"/>
  <c r="D198" i="7" s="1"/>
  <c r="B199" i="7"/>
  <c r="D199" i="7" s="1"/>
  <c r="B200" i="7"/>
  <c r="D200" i="7" s="1"/>
  <c r="B201" i="7"/>
  <c r="D201" i="7" s="1"/>
  <c r="B202" i="7"/>
  <c r="D202" i="7" s="1"/>
  <c r="B203" i="7"/>
  <c r="D203" i="7" s="1"/>
  <c r="B204" i="7"/>
  <c r="D204" i="7" s="1"/>
  <c r="B205" i="7"/>
  <c r="D205" i="7" s="1"/>
  <c r="B206" i="7"/>
  <c r="D206" i="7" s="1"/>
  <c r="B207" i="7"/>
  <c r="D207" i="7" s="1"/>
  <c r="F182" i="7"/>
  <c r="F183" i="7"/>
  <c r="F184" i="7"/>
  <c r="F185" i="7"/>
  <c r="F186" i="7"/>
  <c r="F187" i="7"/>
  <c r="F188" i="7"/>
  <c r="F189" i="7"/>
  <c r="F190" i="7"/>
  <c r="F191" i="7"/>
  <c r="F192" i="7"/>
  <c r="B179" i="7"/>
  <c r="D179" i="7" s="1"/>
  <c r="B180" i="7"/>
  <c r="D180" i="7" s="1"/>
  <c r="B181" i="7"/>
  <c r="D181" i="7" s="1"/>
  <c r="B182" i="7"/>
  <c r="D182" i="7" s="1"/>
  <c r="B183" i="7"/>
  <c r="D183" i="7" s="1"/>
  <c r="B184" i="7"/>
  <c r="D184" i="7" s="1"/>
  <c r="B185" i="7"/>
  <c r="D185" i="7" s="1"/>
  <c r="B186" i="7"/>
  <c r="D186" i="7" s="1"/>
  <c r="B187" i="7"/>
  <c r="D187" i="7" s="1"/>
  <c r="B188" i="7"/>
  <c r="D188" i="7" s="1"/>
  <c r="B189" i="7"/>
  <c r="D189" i="7" s="1"/>
  <c r="B190" i="7"/>
  <c r="D190" i="7" s="1"/>
  <c r="B191" i="7"/>
  <c r="D191" i="7" s="1"/>
  <c r="B192" i="7"/>
  <c r="D192" i="7" s="1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B165" i="7"/>
  <c r="D165" i="7" s="1"/>
  <c r="B166" i="7"/>
  <c r="D166" i="7" s="1"/>
  <c r="B167" i="7"/>
  <c r="D167" i="7" s="1"/>
  <c r="B168" i="7"/>
  <c r="D168" i="7" s="1"/>
  <c r="B169" i="7"/>
  <c r="D169" i="7" s="1"/>
  <c r="B170" i="7"/>
  <c r="D170" i="7" s="1"/>
  <c r="B171" i="7"/>
  <c r="D171" i="7" s="1"/>
  <c r="B172" i="7"/>
  <c r="D172" i="7" s="1"/>
  <c r="B173" i="7"/>
  <c r="D173" i="7" s="1"/>
  <c r="B174" i="7"/>
  <c r="D174" i="7" s="1"/>
  <c r="B175" i="7"/>
  <c r="D175" i="7" s="1"/>
  <c r="B176" i="7"/>
  <c r="D176" i="7" s="1"/>
  <c r="B177" i="7"/>
  <c r="D177" i="7" s="1"/>
  <c r="B178" i="7"/>
  <c r="D178" i="7" s="1"/>
  <c r="M70" i="4"/>
  <c r="N70" i="4" s="1"/>
  <c r="O70" i="4" s="1"/>
  <c r="H70" i="4"/>
  <c r="I70" i="4"/>
  <c r="B150" i="7"/>
  <c r="D6" i="7" s="1"/>
  <c r="B151" i="7"/>
  <c r="D151" i="7" s="1"/>
  <c r="B152" i="7"/>
  <c r="D152" i="7" s="1"/>
  <c r="B153" i="7"/>
  <c r="D153" i="7" s="1"/>
  <c r="B154" i="7"/>
  <c r="D154" i="7" s="1"/>
  <c r="B155" i="7"/>
  <c r="D155" i="7" s="1"/>
  <c r="B156" i="7"/>
  <c r="D156" i="7" s="1"/>
  <c r="B157" i="7"/>
  <c r="D157" i="7" s="1"/>
  <c r="B158" i="7"/>
  <c r="D158" i="7" s="1"/>
  <c r="B159" i="7"/>
  <c r="D159" i="7" s="1"/>
  <c r="B160" i="7"/>
  <c r="D160" i="7" s="1"/>
  <c r="B161" i="7"/>
  <c r="D161" i="7" s="1"/>
  <c r="B162" i="7"/>
  <c r="D162" i="7" s="1"/>
  <c r="B163" i="7"/>
  <c r="D163" i="7" s="1"/>
  <c r="B164" i="7"/>
  <c r="D164" i="7" s="1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49" i="7"/>
  <c r="F148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B128" i="7"/>
  <c r="D128" i="7" s="1"/>
  <c r="B129" i="7"/>
  <c r="D129" i="7" s="1"/>
  <c r="B130" i="7"/>
  <c r="D130" i="7" s="1"/>
  <c r="B131" i="7"/>
  <c r="D131" i="7" s="1"/>
  <c r="B132" i="7"/>
  <c r="D132" i="7" s="1"/>
  <c r="B133" i="7"/>
  <c r="D133" i="7" s="1"/>
  <c r="B134" i="7"/>
  <c r="D134" i="7" s="1"/>
  <c r="B135" i="7"/>
  <c r="D135" i="7" s="1"/>
  <c r="B136" i="7"/>
  <c r="D136" i="7" s="1"/>
  <c r="B137" i="7"/>
  <c r="D137" i="7" s="1"/>
  <c r="B138" i="7"/>
  <c r="D138" i="7" s="1"/>
  <c r="B139" i="7"/>
  <c r="D139" i="7" s="1"/>
  <c r="B140" i="7"/>
  <c r="D140" i="7" s="1"/>
  <c r="B141" i="7"/>
  <c r="D141" i="7" s="1"/>
  <c r="B142" i="7"/>
  <c r="D142" i="7" s="1"/>
  <c r="B143" i="7"/>
  <c r="D143" i="7" s="1"/>
  <c r="B144" i="7"/>
  <c r="D144" i="7" s="1"/>
  <c r="B145" i="7"/>
  <c r="D145" i="7" s="1"/>
  <c r="B146" i="7"/>
  <c r="D146" i="7" s="1"/>
  <c r="B147" i="7"/>
  <c r="D147" i="7" s="1"/>
  <c r="B148" i="7"/>
  <c r="D148" i="7" s="1"/>
  <c r="B149" i="7"/>
  <c r="D149" i="7" s="1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B113" i="7"/>
  <c r="D113" i="7" s="1"/>
  <c r="B114" i="7"/>
  <c r="D114" i="7" s="1"/>
  <c r="B115" i="7"/>
  <c r="D115" i="7" s="1"/>
  <c r="B116" i="7"/>
  <c r="D116" i="7" s="1"/>
  <c r="B117" i="7"/>
  <c r="D117" i="7" s="1"/>
  <c r="B118" i="7"/>
  <c r="D118" i="7" s="1"/>
  <c r="B119" i="7"/>
  <c r="D119" i="7" s="1"/>
  <c r="B120" i="7"/>
  <c r="D120" i="7" s="1"/>
  <c r="B121" i="7"/>
  <c r="D121" i="7" s="1"/>
  <c r="B122" i="7"/>
  <c r="D122" i="7" s="1"/>
  <c r="B123" i="7"/>
  <c r="D123" i="7" s="1"/>
  <c r="B124" i="7"/>
  <c r="D124" i="7" s="1"/>
  <c r="B125" i="7"/>
  <c r="D125" i="7" s="1"/>
  <c r="B126" i="7"/>
  <c r="D126" i="7" s="1"/>
  <c r="B127" i="7"/>
  <c r="D127" i="7" s="1"/>
  <c r="F106" i="7"/>
  <c r="F104" i="7"/>
  <c r="F105" i="7"/>
  <c r="F107" i="7"/>
  <c r="F108" i="7"/>
  <c r="F109" i="7"/>
  <c r="F110" i="7"/>
  <c r="F111" i="7"/>
  <c r="F112" i="7"/>
  <c r="F113" i="7"/>
  <c r="F103" i="7"/>
  <c r="B94" i="7"/>
  <c r="D94" i="7" s="1"/>
  <c r="B95" i="7"/>
  <c r="D95" i="7" s="1"/>
  <c r="B96" i="7"/>
  <c r="D96" i="7" s="1"/>
  <c r="B97" i="7"/>
  <c r="D97" i="7" s="1"/>
  <c r="B98" i="7"/>
  <c r="D98" i="7" s="1"/>
  <c r="B99" i="7"/>
  <c r="D99" i="7" s="1"/>
  <c r="B100" i="7"/>
  <c r="D100" i="7" s="1"/>
  <c r="B101" i="7"/>
  <c r="I6" i="7" s="1"/>
  <c r="I8" i="7" s="1"/>
  <c r="B102" i="7"/>
  <c r="D102" i="7" s="1"/>
  <c r="B103" i="7"/>
  <c r="D103" i="7" s="1"/>
  <c r="B104" i="7"/>
  <c r="D104" i="7" s="1"/>
  <c r="B105" i="7"/>
  <c r="D105" i="7" s="1"/>
  <c r="B106" i="7"/>
  <c r="D106" i="7" s="1"/>
  <c r="B107" i="7"/>
  <c r="D107" i="7" s="1"/>
  <c r="B108" i="7"/>
  <c r="D108" i="7" s="1"/>
  <c r="B109" i="7"/>
  <c r="D109" i="7" s="1"/>
  <c r="B110" i="7"/>
  <c r="D110" i="7" s="1"/>
  <c r="B111" i="7"/>
  <c r="D111" i="7" s="1"/>
  <c r="B112" i="7"/>
  <c r="D112" i="7" s="1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82" i="7"/>
  <c r="B81" i="7"/>
  <c r="D81" i="7" s="1"/>
  <c r="B82" i="7"/>
  <c r="D82" i="7" s="1"/>
  <c r="B83" i="7"/>
  <c r="D83" i="7" s="1"/>
  <c r="B84" i="7"/>
  <c r="D84" i="7" s="1"/>
  <c r="B85" i="7"/>
  <c r="D85" i="7" s="1"/>
  <c r="B86" i="7"/>
  <c r="D86" i="7" s="1"/>
  <c r="B87" i="7"/>
  <c r="D87" i="7" s="1"/>
  <c r="B88" i="7"/>
  <c r="D88" i="7" s="1"/>
  <c r="B89" i="7"/>
  <c r="D89" i="7" s="1"/>
  <c r="B90" i="7"/>
  <c r="D90" i="7" s="1"/>
  <c r="B91" i="7"/>
  <c r="D91" i="7" s="1"/>
  <c r="B92" i="7"/>
  <c r="D92" i="7" s="1"/>
  <c r="B93" i="7"/>
  <c r="D93" i="7" s="1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B66" i="7"/>
  <c r="D66" i="7" s="1"/>
  <c r="B67" i="7"/>
  <c r="D67" i="7" s="1"/>
  <c r="B68" i="7"/>
  <c r="D68" i="7" s="1"/>
  <c r="B69" i="7"/>
  <c r="D69" i="7" s="1"/>
  <c r="B70" i="7"/>
  <c r="D70" i="7" s="1"/>
  <c r="B71" i="7"/>
  <c r="D71" i="7" s="1"/>
  <c r="B72" i="7"/>
  <c r="D72" i="7" s="1"/>
  <c r="B73" i="7"/>
  <c r="D73" i="7" s="1"/>
  <c r="B74" i="7"/>
  <c r="D74" i="7" s="1"/>
  <c r="B75" i="7"/>
  <c r="D75" i="7" s="1"/>
  <c r="B76" i="7"/>
  <c r="D76" i="7" s="1"/>
  <c r="B77" i="7"/>
  <c r="D77" i="7" s="1"/>
  <c r="B78" i="7"/>
  <c r="D78" i="7" s="1"/>
  <c r="B79" i="7"/>
  <c r="D79" i="7" s="1"/>
  <c r="B80" i="7"/>
  <c r="D80" i="7" s="1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48" i="7"/>
  <c r="F49" i="7"/>
  <c r="F50" i="7"/>
  <c r="B50" i="7"/>
  <c r="D50" i="7" s="1"/>
  <c r="B51" i="7"/>
  <c r="D51" i="7" s="1"/>
  <c r="B52" i="7"/>
  <c r="D52" i="7" s="1"/>
  <c r="B53" i="7"/>
  <c r="D53" i="7" s="1"/>
  <c r="B54" i="7"/>
  <c r="D54" i="7" s="1"/>
  <c r="B55" i="7"/>
  <c r="D55" i="7" s="1"/>
  <c r="B56" i="7"/>
  <c r="D56" i="7" s="1"/>
  <c r="B57" i="7"/>
  <c r="D57" i="7" s="1"/>
  <c r="B58" i="7"/>
  <c r="D58" i="7" s="1"/>
  <c r="B59" i="7"/>
  <c r="D59" i="7" s="1"/>
  <c r="B60" i="7"/>
  <c r="D60" i="7" s="1"/>
  <c r="B61" i="7"/>
  <c r="D61" i="7" s="1"/>
  <c r="B62" i="7"/>
  <c r="D62" i="7" s="1"/>
  <c r="B63" i="7"/>
  <c r="D63" i="7" s="1"/>
  <c r="B64" i="7"/>
  <c r="D64" i="7" s="1"/>
  <c r="B65" i="7"/>
  <c r="D65" i="7" s="1"/>
  <c r="B49" i="7"/>
  <c r="D49" i="7" s="1"/>
  <c r="B48" i="7"/>
  <c r="D48" i="7" s="1"/>
  <c r="D47" i="7"/>
  <c r="F47" i="7"/>
  <c r="G48" i="7" l="1"/>
  <c r="K48" i="7"/>
  <c r="G58" i="7"/>
  <c r="K58" i="7"/>
  <c r="G75" i="7"/>
  <c r="K75" i="7"/>
  <c r="G67" i="7"/>
  <c r="K67" i="7"/>
  <c r="G82" i="7"/>
  <c r="K82" i="7"/>
  <c r="G99" i="7"/>
  <c r="K99" i="7"/>
  <c r="G91" i="7"/>
  <c r="K91" i="7"/>
  <c r="G83" i="7"/>
  <c r="K83" i="7"/>
  <c r="G103" i="7"/>
  <c r="K103" i="7"/>
  <c r="G105" i="7"/>
  <c r="K105" i="7"/>
  <c r="G123" i="7"/>
  <c r="K123" i="7"/>
  <c r="G143" i="7"/>
  <c r="K143" i="7"/>
  <c r="G135" i="7"/>
  <c r="K135" i="7"/>
  <c r="G165" i="7"/>
  <c r="K165" i="7"/>
  <c r="G157" i="7"/>
  <c r="K157" i="7"/>
  <c r="G178" i="7"/>
  <c r="K178" i="7"/>
  <c r="G170" i="7"/>
  <c r="K170" i="7"/>
  <c r="G166" i="7"/>
  <c r="K166" i="7"/>
  <c r="G191" i="7"/>
  <c r="K191" i="7"/>
  <c r="G183" i="7"/>
  <c r="K183" i="7"/>
  <c r="G204" i="7"/>
  <c r="K204" i="7"/>
  <c r="G200" i="7"/>
  <c r="K200" i="7"/>
  <c r="G222" i="7"/>
  <c r="K222" i="7"/>
  <c r="G214" i="7"/>
  <c r="K214" i="7"/>
  <c r="G210" i="7"/>
  <c r="K210" i="7"/>
  <c r="G240" i="7"/>
  <c r="K240" i="7"/>
  <c r="G236" i="7"/>
  <c r="K236" i="7"/>
  <c r="G232" i="7"/>
  <c r="K232" i="7"/>
  <c r="G228" i="7"/>
  <c r="K228" i="7"/>
  <c r="G252" i="7"/>
  <c r="K252" i="7"/>
  <c r="G244" i="7"/>
  <c r="K244" i="7"/>
  <c r="G55" i="7"/>
  <c r="K55" i="7"/>
  <c r="G63" i="7"/>
  <c r="K63" i="7"/>
  <c r="G74" i="7"/>
  <c r="K74" i="7"/>
  <c r="G94" i="7"/>
  <c r="K94" i="7"/>
  <c r="G86" i="7"/>
  <c r="K86" i="7"/>
  <c r="G109" i="7"/>
  <c r="K109" i="7"/>
  <c r="G126" i="7"/>
  <c r="K126" i="7"/>
  <c r="G122" i="7"/>
  <c r="K122" i="7"/>
  <c r="G118" i="7"/>
  <c r="K118" i="7"/>
  <c r="G146" i="7"/>
  <c r="K146" i="7"/>
  <c r="G142" i="7"/>
  <c r="K142" i="7"/>
  <c r="G138" i="7"/>
  <c r="K138" i="7"/>
  <c r="G134" i="7"/>
  <c r="K134" i="7"/>
  <c r="G130" i="7"/>
  <c r="K130" i="7"/>
  <c r="G164" i="7"/>
  <c r="K164" i="7"/>
  <c r="G160" i="7"/>
  <c r="K160" i="7"/>
  <c r="G156" i="7"/>
  <c r="K156" i="7"/>
  <c r="G152" i="7"/>
  <c r="K152" i="7"/>
  <c r="G181" i="7"/>
  <c r="K181" i="7"/>
  <c r="G177" i="7"/>
  <c r="K177" i="7"/>
  <c r="G173" i="7"/>
  <c r="K173" i="7"/>
  <c r="G169" i="7"/>
  <c r="K169" i="7"/>
  <c r="G190" i="7"/>
  <c r="K190" i="7"/>
  <c r="G186" i="7"/>
  <c r="K186" i="7"/>
  <c r="G182" i="7"/>
  <c r="K182" i="7"/>
  <c r="G207" i="7"/>
  <c r="K207" i="7"/>
  <c r="G203" i="7"/>
  <c r="K203" i="7"/>
  <c r="G199" i="7"/>
  <c r="K199" i="7"/>
  <c r="G195" i="7"/>
  <c r="K195" i="7"/>
  <c r="G221" i="7"/>
  <c r="K221" i="7"/>
  <c r="G217" i="7"/>
  <c r="K217" i="7"/>
  <c r="G213" i="7"/>
  <c r="K213" i="7"/>
  <c r="G209" i="7"/>
  <c r="K209" i="7"/>
  <c r="G239" i="7"/>
  <c r="K239" i="7"/>
  <c r="G235" i="7"/>
  <c r="K235" i="7"/>
  <c r="G231" i="7"/>
  <c r="K231" i="7"/>
  <c r="G227" i="7"/>
  <c r="K227" i="7"/>
  <c r="G251" i="7"/>
  <c r="K251" i="7"/>
  <c r="G247" i="7"/>
  <c r="K247" i="7"/>
  <c r="G243" i="7"/>
  <c r="K243" i="7"/>
  <c r="G47" i="7"/>
  <c r="K47" i="7"/>
  <c r="G50" i="7"/>
  <c r="K50" i="7"/>
  <c r="G52" i="7"/>
  <c r="K52" i="7"/>
  <c r="G56" i="7"/>
  <c r="K56" i="7"/>
  <c r="G60" i="7"/>
  <c r="K60" i="7"/>
  <c r="G64" i="7"/>
  <c r="K64" i="7"/>
  <c r="G81" i="7"/>
  <c r="K81" i="7"/>
  <c r="G77" i="7"/>
  <c r="K77" i="7"/>
  <c r="G73" i="7"/>
  <c r="K73" i="7"/>
  <c r="G69" i="7"/>
  <c r="K69" i="7"/>
  <c r="G65" i="7"/>
  <c r="K65" i="7"/>
  <c r="G101" i="7"/>
  <c r="K101" i="7"/>
  <c r="G97" i="7"/>
  <c r="K97" i="7"/>
  <c r="G93" i="7"/>
  <c r="K93" i="7"/>
  <c r="G89" i="7"/>
  <c r="K89" i="7"/>
  <c r="G85" i="7"/>
  <c r="K85" i="7"/>
  <c r="G112" i="7"/>
  <c r="K112" i="7"/>
  <c r="G108" i="7"/>
  <c r="K108" i="7"/>
  <c r="G106" i="7"/>
  <c r="K106" i="7"/>
  <c r="G129" i="7"/>
  <c r="K129" i="7"/>
  <c r="G125" i="7"/>
  <c r="K125" i="7"/>
  <c r="G121" i="7"/>
  <c r="K121" i="7"/>
  <c r="G117" i="7"/>
  <c r="K117" i="7"/>
  <c r="G145" i="7"/>
  <c r="K145" i="7"/>
  <c r="G141" i="7"/>
  <c r="K141" i="7"/>
  <c r="G137" i="7"/>
  <c r="K137" i="7"/>
  <c r="G133" i="7"/>
  <c r="K133" i="7"/>
  <c r="G148" i="7"/>
  <c r="K148" i="7"/>
  <c r="G163" i="7"/>
  <c r="K163" i="7"/>
  <c r="G159" i="7"/>
  <c r="K159" i="7"/>
  <c r="G155" i="7"/>
  <c r="K155" i="7"/>
  <c r="G151" i="7"/>
  <c r="K151" i="7"/>
  <c r="G180" i="7"/>
  <c r="K180" i="7"/>
  <c r="G176" i="7"/>
  <c r="K176" i="7"/>
  <c r="G172" i="7"/>
  <c r="K172" i="7"/>
  <c r="G168" i="7"/>
  <c r="K168" i="7"/>
  <c r="G189" i="7"/>
  <c r="K189" i="7"/>
  <c r="G185" i="7"/>
  <c r="K185" i="7"/>
  <c r="G206" i="7"/>
  <c r="K206" i="7"/>
  <c r="G202" i="7"/>
  <c r="K202" i="7"/>
  <c r="G198" i="7"/>
  <c r="K198" i="7"/>
  <c r="G194" i="7"/>
  <c r="K194" i="7"/>
  <c r="G224" i="7"/>
  <c r="K224" i="7"/>
  <c r="G220" i="7"/>
  <c r="K220" i="7"/>
  <c r="G216" i="7"/>
  <c r="K216" i="7"/>
  <c r="G212" i="7"/>
  <c r="K212" i="7"/>
  <c r="G208" i="7"/>
  <c r="K208" i="7"/>
  <c r="G242" i="7"/>
  <c r="K242" i="7"/>
  <c r="G238" i="7"/>
  <c r="K238" i="7"/>
  <c r="G234" i="7"/>
  <c r="K234" i="7"/>
  <c r="G230" i="7"/>
  <c r="K230" i="7"/>
  <c r="G226" i="7"/>
  <c r="K226" i="7"/>
  <c r="G250" i="7"/>
  <c r="K250" i="7"/>
  <c r="G246" i="7"/>
  <c r="K246" i="7"/>
  <c r="G54" i="7"/>
  <c r="K54" i="7"/>
  <c r="G62" i="7"/>
  <c r="K62" i="7"/>
  <c r="G79" i="7"/>
  <c r="K79" i="7"/>
  <c r="G71" i="7"/>
  <c r="K71" i="7"/>
  <c r="G95" i="7"/>
  <c r="K95" i="7"/>
  <c r="G87" i="7"/>
  <c r="K87" i="7"/>
  <c r="G110" i="7"/>
  <c r="K110" i="7"/>
  <c r="G127" i="7"/>
  <c r="K127" i="7"/>
  <c r="G119" i="7"/>
  <c r="K119" i="7"/>
  <c r="G115" i="7"/>
  <c r="K115" i="7"/>
  <c r="G147" i="7"/>
  <c r="K147" i="7"/>
  <c r="G139" i="7"/>
  <c r="K139" i="7"/>
  <c r="G131" i="7"/>
  <c r="K131" i="7"/>
  <c r="G161" i="7"/>
  <c r="K161" i="7"/>
  <c r="G153" i="7"/>
  <c r="K153" i="7"/>
  <c r="G174" i="7"/>
  <c r="K174" i="7"/>
  <c r="G187" i="7"/>
  <c r="K187" i="7"/>
  <c r="G196" i="7"/>
  <c r="K196" i="7"/>
  <c r="G218" i="7"/>
  <c r="K218" i="7"/>
  <c r="G248" i="7"/>
  <c r="K248" i="7"/>
  <c r="G51" i="7"/>
  <c r="K51" i="7"/>
  <c r="G59" i="7"/>
  <c r="K59" i="7"/>
  <c r="G78" i="7"/>
  <c r="K78" i="7"/>
  <c r="G70" i="7"/>
  <c r="K70" i="7"/>
  <c r="G66" i="7"/>
  <c r="K66" i="7"/>
  <c r="G102" i="7"/>
  <c r="K102" i="7"/>
  <c r="G98" i="7"/>
  <c r="K98" i="7"/>
  <c r="G90" i="7"/>
  <c r="K90" i="7"/>
  <c r="G113" i="7"/>
  <c r="K113" i="7"/>
  <c r="G104" i="7"/>
  <c r="K104" i="7"/>
  <c r="G114" i="7"/>
  <c r="K114" i="7"/>
  <c r="G49" i="7"/>
  <c r="K49" i="7"/>
  <c r="G53" i="7"/>
  <c r="K53" i="7"/>
  <c r="G57" i="7"/>
  <c r="K57" i="7"/>
  <c r="G61" i="7"/>
  <c r="K61" i="7"/>
  <c r="G80" i="7"/>
  <c r="K80" i="7"/>
  <c r="G76" i="7"/>
  <c r="K76" i="7"/>
  <c r="G72" i="7"/>
  <c r="K72" i="7"/>
  <c r="G68" i="7"/>
  <c r="K68" i="7"/>
  <c r="G100" i="7"/>
  <c r="K100" i="7"/>
  <c r="G96" i="7"/>
  <c r="K96" i="7"/>
  <c r="G92" i="7"/>
  <c r="K92" i="7"/>
  <c r="G88" i="7"/>
  <c r="K88" i="7"/>
  <c r="G84" i="7"/>
  <c r="K84" i="7"/>
  <c r="G111" i="7"/>
  <c r="K111" i="7"/>
  <c r="G107" i="7"/>
  <c r="K107" i="7"/>
  <c r="G128" i="7"/>
  <c r="K128" i="7"/>
  <c r="G124" i="7"/>
  <c r="K124" i="7"/>
  <c r="G120" i="7"/>
  <c r="K120" i="7"/>
  <c r="G116" i="7"/>
  <c r="K116" i="7"/>
  <c r="G144" i="7"/>
  <c r="K144" i="7"/>
  <c r="G140" i="7"/>
  <c r="K140" i="7"/>
  <c r="G136" i="7"/>
  <c r="K136" i="7"/>
  <c r="G132" i="7"/>
  <c r="K132" i="7"/>
  <c r="G149" i="7"/>
  <c r="K149" i="7"/>
  <c r="G162" i="7"/>
  <c r="K162" i="7"/>
  <c r="G158" i="7"/>
  <c r="K158" i="7"/>
  <c r="G154" i="7"/>
  <c r="K154" i="7"/>
  <c r="G150" i="7"/>
  <c r="K150" i="7"/>
  <c r="G179" i="7"/>
  <c r="K179" i="7"/>
  <c r="G175" i="7"/>
  <c r="K175" i="7"/>
  <c r="G171" i="7"/>
  <c r="K171" i="7"/>
  <c r="G167" i="7"/>
  <c r="K167" i="7"/>
  <c r="G192" i="7"/>
  <c r="K192" i="7"/>
  <c r="G188" i="7"/>
  <c r="K188" i="7"/>
  <c r="G184" i="7"/>
  <c r="K184" i="7"/>
  <c r="G205" i="7"/>
  <c r="K205" i="7"/>
  <c r="G201" i="7"/>
  <c r="K201" i="7"/>
  <c r="G197" i="7"/>
  <c r="K197" i="7"/>
  <c r="G193" i="7"/>
  <c r="K193" i="7"/>
  <c r="G223" i="7"/>
  <c r="K223" i="7"/>
  <c r="G219" i="7"/>
  <c r="K219" i="7"/>
  <c r="G215" i="7"/>
  <c r="K215" i="7"/>
  <c r="G211" i="7"/>
  <c r="K211" i="7"/>
  <c r="G241" i="7"/>
  <c r="K241" i="7"/>
  <c r="G237" i="7"/>
  <c r="K237" i="7"/>
  <c r="G233" i="7"/>
  <c r="K233" i="7"/>
  <c r="G229" i="7"/>
  <c r="K229" i="7"/>
  <c r="G225" i="7"/>
  <c r="K225" i="7"/>
  <c r="G249" i="7"/>
  <c r="K249" i="7"/>
  <c r="G245" i="7"/>
  <c r="K245" i="7"/>
  <c r="D150" i="7"/>
  <c r="D101" i="7"/>
  <c r="M80" i="4"/>
  <c r="N80" i="4" s="1"/>
  <c r="O80" i="4" s="1"/>
  <c r="H80" i="4"/>
  <c r="I80" i="4"/>
  <c r="M47" i="4"/>
  <c r="N47" i="4" s="1"/>
  <c r="M38" i="4"/>
  <c r="N38" i="4" s="1"/>
  <c r="O38" i="4" s="1"/>
  <c r="M33" i="4"/>
  <c r="N33" i="4" s="1"/>
  <c r="O33" i="4" s="1"/>
  <c r="H47" i="4"/>
  <c r="I47" i="4"/>
  <c r="H33" i="4"/>
  <c r="I33" i="4"/>
  <c r="H38" i="4"/>
  <c r="I38" i="4"/>
  <c r="M1" i="7" l="1"/>
  <c r="I92" i="4"/>
  <c r="Z92" i="4"/>
  <c r="AB92" i="4" l="1"/>
  <c r="AC92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4" i="4"/>
  <c r="H35" i="4"/>
  <c r="H36" i="4"/>
  <c r="H37" i="4"/>
  <c r="H39" i="4"/>
  <c r="H40" i="4"/>
  <c r="H41" i="4"/>
  <c r="H42" i="4"/>
  <c r="H43" i="4"/>
  <c r="H44" i="4"/>
  <c r="H45" i="4"/>
  <c r="H46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1" i="4"/>
  <c r="H72" i="4"/>
  <c r="H73" i="4"/>
  <c r="H74" i="4"/>
  <c r="H75" i="4"/>
  <c r="H76" i="4"/>
  <c r="H77" i="4"/>
  <c r="H78" i="4"/>
  <c r="H79" i="4"/>
  <c r="H81" i="4"/>
  <c r="H82" i="4"/>
  <c r="H83" i="4"/>
  <c r="H84" i="4"/>
  <c r="H85" i="4"/>
  <c r="H86" i="4"/>
  <c r="H87" i="4"/>
  <c r="H88" i="4"/>
  <c r="H89" i="4"/>
  <c r="H90" i="4"/>
  <c r="H91" i="4"/>
  <c r="M92" i="4"/>
  <c r="N92" i="4" l="1"/>
  <c r="O92" i="4" s="1"/>
  <c r="C3" i="12"/>
  <c r="D16" i="12" s="1"/>
  <c r="D29" i="7"/>
  <c r="D28" i="7"/>
  <c r="D30" i="7" l="1"/>
  <c r="D32" i="7" s="1"/>
  <c r="L47" i="7"/>
  <c r="M47" i="7" s="1"/>
  <c r="L86" i="7"/>
  <c r="M86" i="7" s="1"/>
  <c r="L85" i="7"/>
  <c r="M85" i="7" s="1"/>
  <c r="L84" i="7"/>
  <c r="M84" i="7" s="1"/>
  <c r="L83" i="7"/>
  <c r="M83" i="7" s="1"/>
  <c r="L82" i="7"/>
  <c r="M82" i="7" s="1"/>
  <c r="L81" i="7"/>
  <c r="M81" i="7" s="1"/>
  <c r="L80" i="7"/>
  <c r="M80" i="7" s="1"/>
  <c r="L79" i="7"/>
  <c r="M79" i="7" s="1"/>
  <c r="L78" i="7"/>
  <c r="M78" i="7" s="1"/>
  <c r="L77" i="7"/>
  <c r="M77" i="7" s="1"/>
  <c r="L76" i="7"/>
  <c r="M76" i="7" s="1"/>
  <c r="L75" i="7"/>
  <c r="M75" i="7" s="1"/>
  <c r="L74" i="7"/>
  <c r="M74" i="7" s="1"/>
  <c r="L73" i="7"/>
  <c r="M73" i="7" s="1"/>
  <c r="L72" i="7"/>
  <c r="M72" i="7" s="1"/>
  <c r="L71" i="7"/>
  <c r="M71" i="7" s="1"/>
  <c r="L70" i="7"/>
  <c r="M70" i="7" s="1"/>
  <c r="L69" i="7"/>
  <c r="M69" i="7" s="1"/>
  <c r="L68" i="7"/>
  <c r="M68" i="7" s="1"/>
  <c r="L67" i="7"/>
  <c r="M67" i="7" s="1"/>
  <c r="L66" i="7"/>
  <c r="M66" i="7" s="1"/>
  <c r="L65" i="7"/>
  <c r="M65" i="7" s="1"/>
  <c r="L64" i="7"/>
  <c r="M64" i="7" s="1"/>
  <c r="L63" i="7"/>
  <c r="M63" i="7" s="1"/>
  <c r="L62" i="7"/>
  <c r="M62" i="7" s="1"/>
  <c r="L61" i="7"/>
  <c r="M61" i="7" s="1"/>
  <c r="L60" i="7"/>
  <c r="M60" i="7" s="1"/>
  <c r="L59" i="7"/>
  <c r="M59" i="7" s="1"/>
  <c r="L58" i="7"/>
  <c r="M58" i="7" s="1"/>
  <c r="L57" i="7"/>
  <c r="M57" i="7" s="1"/>
  <c r="L56" i="7"/>
  <c r="M56" i="7" s="1"/>
  <c r="L55" i="7"/>
  <c r="M55" i="7" s="1"/>
  <c r="L54" i="7"/>
  <c r="M54" i="7" s="1"/>
  <c r="L53" i="7"/>
  <c r="M53" i="7" s="1"/>
  <c r="L52" i="7"/>
  <c r="M52" i="7" s="1"/>
  <c r="L51" i="7"/>
  <c r="M51" i="7" s="1"/>
  <c r="L50" i="7"/>
  <c r="M50" i="7" s="1"/>
  <c r="L49" i="7"/>
  <c r="M49" i="7" s="1"/>
  <c r="L48" i="7"/>
  <c r="M48" i="7" s="1"/>
  <c r="D31" i="7"/>
  <c r="L111" i="7" l="1"/>
  <c r="M111" i="7" s="1"/>
  <c r="E51" i="6" l="1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50" i="6"/>
  <c r="E6" i="6" l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5" i="6"/>
  <c r="I17" i="4" l="1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4" i="4"/>
  <c r="I35" i="4"/>
  <c r="I36" i="4"/>
  <c r="I37" i="4"/>
  <c r="I39" i="4"/>
  <c r="I40" i="4"/>
  <c r="I41" i="4"/>
  <c r="I42" i="4"/>
  <c r="I43" i="4"/>
  <c r="I44" i="4"/>
  <c r="I45" i="4"/>
  <c r="I46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1" i="4"/>
  <c r="I72" i="4"/>
  <c r="I73" i="4"/>
  <c r="I74" i="4"/>
  <c r="I75" i="4"/>
  <c r="I76" i="4"/>
  <c r="I77" i="4"/>
  <c r="I78" i="4"/>
  <c r="I79" i="4"/>
  <c r="I81" i="4"/>
  <c r="I82" i="4"/>
  <c r="I83" i="4"/>
  <c r="I84" i="4"/>
  <c r="I85" i="4"/>
  <c r="I86" i="4"/>
  <c r="I87" i="4"/>
  <c r="I88" i="4"/>
  <c r="I89" i="4"/>
  <c r="I90" i="4"/>
  <c r="I91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6" i="4"/>
  <c r="M17" i="4" l="1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4" i="4"/>
  <c r="M35" i="4"/>
  <c r="M36" i="4"/>
  <c r="M37" i="4"/>
  <c r="M39" i="4"/>
  <c r="M40" i="4"/>
  <c r="M41" i="4"/>
  <c r="M42" i="4"/>
  <c r="M43" i="4"/>
  <c r="M44" i="4"/>
  <c r="M45" i="4"/>
  <c r="M46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1" i="4"/>
  <c r="M72" i="4"/>
  <c r="M73" i="4"/>
  <c r="M74" i="4"/>
  <c r="M75" i="4"/>
  <c r="M76" i="4"/>
  <c r="M77" i="4"/>
  <c r="M78" i="4"/>
  <c r="M79" i="4"/>
  <c r="M81" i="4"/>
  <c r="M82" i="4"/>
  <c r="M83" i="4"/>
  <c r="M84" i="4"/>
  <c r="M85" i="4"/>
  <c r="M86" i="4"/>
  <c r="M87" i="4"/>
  <c r="M88" i="4"/>
  <c r="M89" i="4"/>
  <c r="M90" i="4"/>
  <c r="M91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6" i="4"/>
  <c r="D8" i="7" l="1"/>
  <c r="N17" i="4" l="1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1" i="4"/>
  <c r="O31" i="4" s="1"/>
  <c r="N32" i="4"/>
  <c r="O32" i="4" s="1"/>
  <c r="N34" i="4"/>
  <c r="O34" i="4" s="1"/>
  <c r="N35" i="4"/>
  <c r="O35" i="4" s="1"/>
  <c r="N36" i="4"/>
  <c r="N37" i="4"/>
  <c r="O37" i="4" s="1"/>
  <c r="N39" i="4"/>
  <c r="O39" i="4" s="1"/>
  <c r="N40" i="4"/>
  <c r="O40" i="4" s="1"/>
  <c r="N41" i="4"/>
  <c r="N42" i="4"/>
  <c r="N43" i="4"/>
  <c r="N44" i="4"/>
  <c r="O44" i="4" s="1"/>
  <c r="N45" i="4"/>
  <c r="O45" i="4" s="1"/>
  <c r="N46" i="4"/>
  <c r="N48" i="4"/>
  <c r="O48" i="4" s="1"/>
  <c r="N49" i="4"/>
  <c r="N50" i="4"/>
  <c r="O50" i="4" s="1"/>
  <c r="N51" i="4"/>
  <c r="O51" i="4" s="1"/>
  <c r="N52" i="4"/>
  <c r="O52" i="4" s="1"/>
  <c r="N53" i="4"/>
  <c r="O53" i="4" s="1"/>
  <c r="N54" i="4"/>
  <c r="O54" i="4" s="1"/>
  <c r="N55" i="4"/>
  <c r="O55" i="4" s="1"/>
  <c r="N56" i="4"/>
  <c r="O56" i="4" s="1"/>
  <c r="N57" i="4"/>
  <c r="O57" i="4" s="1"/>
  <c r="N58" i="4"/>
  <c r="O58" i="4" s="1"/>
  <c r="N59" i="4"/>
  <c r="O59" i="4" s="1"/>
  <c r="N60" i="4"/>
  <c r="O60" i="4" s="1"/>
  <c r="N61" i="4"/>
  <c r="O61" i="4" s="1"/>
  <c r="N62" i="4"/>
  <c r="O62" i="4" s="1"/>
  <c r="N63" i="4"/>
  <c r="O63" i="4" s="1"/>
  <c r="N64" i="4"/>
  <c r="O64" i="4" s="1"/>
  <c r="N65" i="4"/>
  <c r="O65" i="4" s="1"/>
  <c r="N66" i="4"/>
  <c r="O66" i="4" s="1"/>
  <c r="N67" i="4"/>
  <c r="O67" i="4" s="1"/>
  <c r="N68" i="4"/>
  <c r="O68" i="4" s="1"/>
  <c r="N69" i="4"/>
  <c r="O69" i="4" s="1"/>
  <c r="N71" i="4"/>
  <c r="O71" i="4" s="1"/>
  <c r="N72" i="4"/>
  <c r="O72" i="4" s="1"/>
  <c r="N73" i="4"/>
  <c r="O73" i="4" s="1"/>
  <c r="N74" i="4"/>
  <c r="O74" i="4" s="1"/>
  <c r="N75" i="4"/>
  <c r="O75" i="4" s="1"/>
  <c r="N76" i="4"/>
  <c r="O76" i="4" s="1"/>
  <c r="N77" i="4"/>
  <c r="N78" i="4"/>
  <c r="O78" i="4" s="1"/>
  <c r="N79" i="4"/>
  <c r="O79" i="4" s="1"/>
  <c r="N81" i="4"/>
  <c r="O81" i="4" s="1"/>
  <c r="N82" i="4"/>
  <c r="O82" i="4" s="1"/>
  <c r="N83" i="4"/>
  <c r="O83" i="4" s="1"/>
  <c r="N84" i="4"/>
  <c r="O84" i="4" s="1"/>
  <c r="N85" i="4"/>
  <c r="O85" i="4" s="1"/>
  <c r="N86" i="4"/>
  <c r="O86" i="4" s="1"/>
  <c r="N87" i="4"/>
  <c r="O87" i="4" s="1"/>
  <c r="N88" i="4"/>
  <c r="O88" i="4" s="1"/>
  <c r="N89" i="4"/>
  <c r="O89" i="4" s="1"/>
  <c r="N90" i="4"/>
  <c r="O90" i="4" s="1"/>
  <c r="N91" i="4"/>
  <c r="O91" i="4" s="1"/>
  <c r="N93" i="4"/>
  <c r="O93" i="4" s="1"/>
  <c r="N94" i="4"/>
  <c r="O94" i="4" s="1"/>
  <c r="N95" i="4"/>
  <c r="O95" i="4" s="1"/>
  <c r="N96" i="4"/>
  <c r="O96" i="4" s="1"/>
  <c r="N97" i="4"/>
  <c r="O97" i="4" s="1"/>
  <c r="N98" i="4"/>
  <c r="O98" i="4" s="1"/>
  <c r="N99" i="4"/>
  <c r="O99" i="4" s="1"/>
  <c r="N100" i="4"/>
  <c r="O100" i="4" s="1"/>
  <c r="N101" i="4"/>
  <c r="O101" i="4" s="1"/>
  <c r="N102" i="4"/>
  <c r="O102" i="4" s="1"/>
  <c r="N103" i="4"/>
  <c r="O103" i="4" s="1"/>
  <c r="N104" i="4"/>
  <c r="O104" i="4" s="1"/>
  <c r="N105" i="4"/>
  <c r="O105" i="4" s="1"/>
  <c r="N106" i="4"/>
  <c r="O106" i="4" s="1"/>
  <c r="N107" i="4"/>
  <c r="O107" i="4" s="1"/>
  <c r="N108" i="4"/>
  <c r="O108" i="4" s="1"/>
  <c r="N109" i="4"/>
  <c r="O109" i="4" s="1"/>
  <c r="N110" i="4"/>
  <c r="O110" i="4" s="1"/>
  <c r="N111" i="4"/>
  <c r="O111" i="4" s="1"/>
  <c r="N112" i="4"/>
  <c r="O112" i="4" s="1"/>
  <c r="N113" i="4"/>
  <c r="O113" i="4" s="1"/>
  <c r="N114" i="4"/>
  <c r="O114" i="4" s="1"/>
  <c r="N115" i="4"/>
  <c r="O115" i="4" s="1"/>
  <c r="N116" i="4"/>
  <c r="O116" i="4" s="1"/>
  <c r="N117" i="4"/>
  <c r="O117" i="4" s="1"/>
  <c r="N118" i="4"/>
  <c r="O118" i="4" s="1"/>
  <c r="N119" i="4"/>
  <c r="O119" i="4" s="1"/>
  <c r="N120" i="4"/>
  <c r="O120" i="4" s="1"/>
  <c r="N121" i="4"/>
  <c r="O121" i="4" s="1"/>
  <c r="N122" i="4"/>
  <c r="O122" i="4" s="1"/>
  <c r="N123" i="4"/>
  <c r="O123" i="4" s="1"/>
  <c r="N124" i="4"/>
  <c r="O124" i="4" s="1"/>
  <c r="N125" i="4"/>
  <c r="O125" i="4" s="1"/>
  <c r="N126" i="4"/>
  <c r="O126" i="4" s="1"/>
  <c r="N16" i="4"/>
  <c r="O16" i="4" s="1"/>
  <c r="H16" i="4"/>
  <c r="J17" i="3" l="1"/>
  <c r="J16" i="3"/>
  <c r="J15" i="3"/>
  <c r="J14" i="3"/>
  <c r="I17" i="3"/>
  <c r="I16" i="3"/>
  <c r="I15" i="3"/>
  <c r="I14" i="3"/>
  <c r="J49" i="3" l="1"/>
  <c r="L49" i="3" s="1"/>
  <c r="J48" i="3"/>
  <c r="J47" i="3"/>
  <c r="L47" i="3" s="1"/>
  <c r="J46" i="3"/>
  <c r="J45" i="3"/>
  <c r="L45" i="3" s="1"/>
  <c r="J44" i="3"/>
  <c r="J34" i="3"/>
  <c r="L34" i="3" s="1"/>
  <c r="J33" i="3"/>
  <c r="J32" i="3"/>
  <c r="L32" i="3" s="1"/>
  <c r="J31" i="3"/>
  <c r="J30" i="3"/>
  <c r="L30" i="3" s="1"/>
  <c r="J29" i="3"/>
  <c r="K51" i="3"/>
  <c r="L50" i="6" s="1"/>
  <c r="K36" i="3"/>
  <c r="L5" i="6" s="1"/>
  <c r="K52" i="3" l="1"/>
  <c r="K44" i="3" s="1"/>
  <c r="K37" i="3"/>
  <c r="L6" i="6" s="1"/>
  <c r="L44" i="3"/>
  <c r="L48" i="3"/>
  <c r="L46" i="3"/>
  <c r="L31" i="3"/>
  <c r="L29" i="3"/>
  <c r="L33" i="3"/>
  <c r="F6" i="6" l="1"/>
  <c r="G6" i="6" s="1"/>
  <c r="H6" i="6" s="1"/>
  <c r="F7" i="6"/>
  <c r="G7" i="6" s="1"/>
  <c r="H7" i="6" s="1"/>
  <c r="F8" i="6"/>
  <c r="G8" i="6" s="1"/>
  <c r="H8" i="6" s="1"/>
  <c r="F9" i="6"/>
  <c r="G9" i="6" s="1"/>
  <c r="H9" i="6" s="1"/>
  <c r="F10" i="6"/>
  <c r="G10" i="6" s="1"/>
  <c r="H10" i="6" s="1"/>
  <c r="F11" i="6"/>
  <c r="G11" i="6" s="1"/>
  <c r="H11" i="6" s="1"/>
  <c r="F12" i="6"/>
  <c r="G12" i="6" s="1"/>
  <c r="H12" i="6" s="1"/>
  <c r="F13" i="6"/>
  <c r="G13" i="6" s="1"/>
  <c r="H13" i="6" s="1"/>
  <c r="F14" i="6"/>
  <c r="G14" i="6" s="1"/>
  <c r="H14" i="6" s="1"/>
  <c r="F5" i="6"/>
  <c r="G5" i="6" s="1"/>
  <c r="H5" i="6" s="1"/>
  <c r="F42" i="6"/>
  <c r="G42" i="6" s="1"/>
  <c r="H42" i="6" s="1"/>
  <c r="F41" i="6"/>
  <c r="G41" i="6" s="1"/>
  <c r="H41" i="6" s="1"/>
  <c r="F40" i="6"/>
  <c r="G40" i="6" s="1"/>
  <c r="H40" i="6" s="1"/>
  <c r="F39" i="6"/>
  <c r="G39" i="6" s="1"/>
  <c r="H39" i="6" s="1"/>
  <c r="F38" i="6"/>
  <c r="G38" i="6" s="1"/>
  <c r="H38" i="6" s="1"/>
  <c r="F37" i="6"/>
  <c r="G37" i="6" s="1"/>
  <c r="H37" i="6" s="1"/>
  <c r="F36" i="6"/>
  <c r="G36" i="6" s="1"/>
  <c r="H36" i="6" s="1"/>
  <c r="F35" i="6"/>
  <c r="G35" i="6" s="1"/>
  <c r="H35" i="6" s="1"/>
  <c r="F34" i="6"/>
  <c r="G34" i="6" s="1"/>
  <c r="H34" i="6" s="1"/>
  <c r="F33" i="6"/>
  <c r="G33" i="6" s="1"/>
  <c r="H33" i="6" s="1"/>
  <c r="F32" i="6"/>
  <c r="G32" i="6" s="1"/>
  <c r="H32" i="6" s="1"/>
  <c r="F31" i="6"/>
  <c r="G31" i="6" s="1"/>
  <c r="H31" i="6" s="1"/>
  <c r="F30" i="6"/>
  <c r="G30" i="6" s="1"/>
  <c r="H30" i="6" s="1"/>
  <c r="F29" i="6"/>
  <c r="G29" i="6" s="1"/>
  <c r="H29" i="6" s="1"/>
  <c r="F28" i="6"/>
  <c r="G28" i="6" s="1"/>
  <c r="H28" i="6" s="1"/>
  <c r="F27" i="6"/>
  <c r="G27" i="6" s="1"/>
  <c r="H27" i="6" s="1"/>
  <c r="F26" i="6"/>
  <c r="G26" i="6" s="1"/>
  <c r="H26" i="6" s="1"/>
  <c r="F25" i="6"/>
  <c r="G25" i="6" s="1"/>
  <c r="H25" i="6" s="1"/>
  <c r="F24" i="6"/>
  <c r="G24" i="6" s="1"/>
  <c r="H24" i="6" s="1"/>
  <c r="F23" i="6"/>
  <c r="G23" i="6" s="1"/>
  <c r="H23" i="6" s="1"/>
  <c r="F22" i="6"/>
  <c r="G22" i="6" s="1"/>
  <c r="H22" i="6" s="1"/>
  <c r="F21" i="6"/>
  <c r="G21" i="6" s="1"/>
  <c r="H21" i="6" s="1"/>
  <c r="F20" i="6"/>
  <c r="G20" i="6" s="1"/>
  <c r="H20" i="6" s="1"/>
  <c r="F19" i="6"/>
  <c r="G19" i="6" s="1"/>
  <c r="H19" i="6" s="1"/>
  <c r="F18" i="6"/>
  <c r="G18" i="6" s="1"/>
  <c r="H18" i="6" s="1"/>
  <c r="F17" i="6"/>
  <c r="G17" i="6" s="1"/>
  <c r="H17" i="6" s="1"/>
  <c r="F16" i="6"/>
  <c r="G16" i="6" s="1"/>
  <c r="H16" i="6" s="1"/>
  <c r="F15" i="6"/>
  <c r="G15" i="6" s="1"/>
  <c r="H15" i="6" s="1"/>
  <c r="K45" i="3"/>
  <c r="L51" i="6"/>
  <c r="K46" i="3"/>
  <c r="K48" i="3"/>
  <c r="K47" i="3"/>
  <c r="U5" i="4" s="1"/>
  <c r="K49" i="3"/>
  <c r="K30" i="3"/>
  <c r="K32" i="3"/>
  <c r="K34" i="3"/>
  <c r="K31" i="3"/>
  <c r="K33" i="3"/>
  <c r="K29" i="3"/>
  <c r="R80" i="4" l="1"/>
  <c r="X80" i="4" s="1"/>
  <c r="Z80" i="4" s="1"/>
  <c r="AC80" i="4" s="1"/>
  <c r="N11" i="7"/>
  <c r="R70" i="4"/>
  <c r="X70" i="4" s="1"/>
  <c r="Z70" i="4" s="1"/>
  <c r="R92" i="4"/>
  <c r="R47" i="4"/>
  <c r="X47" i="4" s="1"/>
  <c r="R38" i="4"/>
  <c r="X38" i="4" s="1"/>
  <c r="R33" i="4"/>
  <c r="X33" i="4" s="1"/>
  <c r="U6" i="4"/>
  <c r="U4" i="4"/>
  <c r="U3" i="4"/>
  <c r="R126" i="4"/>
  <c r="X126" i="4" s="1"/>
  <c r="R125" i="4"/>
  <c r="X125" i="4" s="1"/>
  <c r="R124" i="4"/>
  <c r="X124" i="4" s="1"/>
  <c r="R123" i="4"/>
  <c r="X123" i="4" s="1"/>
  <c r="R122" i="4"/>
  <c r="X122" i="4" s="1"/>
  <c r="R121" i="4"/>
  <c r="X121" i="4" s="1"/>
  <c r="R120" i="4"/>
  <c r="X120" i="4" s="1"/>
  <c r="R119" i="4"/>
  <c r="X119" i="4" s="1"/>
  <c r="R118" i="4"/>
  <c r="X118" i="4" s="1"/>
  <c r="R117" i="4"/>
  <c r="X117" i="4" s="1"/>
  <c r="R116" i="4"/>
  <c r="X116" i="4" s="1"/>
  <c r="R115" i="4"/>
  <c r="X115" i="4" s="1"/>
  <c r="R114" i="4"/>
  <c r="X114" i="4" s="1"/>
  <c r="R113" i="4"/>
  <c r="X113" i="4" s="1"/>
  <c r="R112" i="4"/>
  <c r="X112" i="4" s="1"/>
  <c r="R111" i="4"/>
  <c r="X111" i="4" s="1"/>
  <c r="R110" i="4"/>
  <c r="X110" i="4" s="1"/>
  <c r="R109" i="4"/>
  <c r="X109" i="4" s="1"/>
  <c r="R108" i="4"/>
  <c r="X108" i="4" s="1"/>
  <c r="R107" i="4"/>
  <c r="X107" i="4" s="1"/>
  <c r="R106" i="4"/>
  <c r="X106" i="4" s="1"/>
  <c r="R105" i="4"/>
  <c r="X105" i="4" s="1"/>
  <c r="R104" i="4"/>
  <c r="X104" i="4" s="1"/>
  <c r="R103" i="4"/>
  <c r="X103" i="4" s="1"/>
  <c r="R102" i="4"/>
  <c r="X102" i="4" s="1"/>
  <c r="R101" i="4"/>
  <c r="X101" i="4" s="1"/>
  <c r="R100" i="4"/>
  <c r="X100" i="4" s="1"/>
  <c r="R99" i="4"/>
  <c r="X99" i="4" s="1"/>
  <c r="R98" i="4"/>
  <c r="X98" i="4" s="1"/>
  <c r="R97" i="4"/>
  <c r="X97" i="4" s="1"/>
  <c r="R96" i="4"/>
  <c r="X96" i="4" s="1"/>
  <c r="R95" i="4"/>
  <c r="X95" i="4" s="1"/>
  <c r="R94" i="4"/>
  <c r="X94" i="4" s="1"/>
  <c r="R93" i="4"/>
  <c r="X93" i="4" s="1"/>
  <c r="R91" i="4"/>
  <c r="X91" i="4" s="1"/>
  <c r="R90" i="4"/>
  <c r="X90" i="4" s="1"/>
  <c r="R89" i="4"/>
  <c r="X89" i="4" s="1"/>
  <c r="R88" i="4"/>
  <c r="X88" i="4" s="1"/>
  <c r="R87" i="4"/>
  <c r="X87" i="4" s="1"/>
  <c r="R86" i="4"/>
  <c r="X86" i="4" s="1"/>
  <c r="R85" i="4"/>
  <c r="X85" i="4" s="1"/>
  <c r="R84" i="4"/>
  <c r="X84" i="4" s="1"/>
  <c r="R83" i="4"/>
  <c r="X83" i="4" s="1"/>
  <c r="R82" i="4"/>
  <c r="X82" i="4" s="1"/>
  <c r="R81" i="4"/>
  <c r="X81" i="4" s="1"/>
  <c r="R79" i="4"/>
  <c r="X79" i="4" s="1"/>
  <c r="R78" i="4"/>
  <c r="X78" i="4" s="1"/>
  <c r="R77" i="4"/>
  <c r="X77" i="4" s="1"/>
  <c r="R76" i="4"/>
  <c r="X76" i="4" s="1"/>
  <c r="R75" i="4"/>
  <c r="X75" i="4" s="1"/>
  <c r="R74" i="4"/>
  <c r="X74" i="4" s="1"/>
  <c r="R73" i="4"/>
  <c r="X73" i="4" s="1"/>
  <c r="R72" i="4"/>
  <c r="X72" i="4" s="1"/>
  <c r="Z72" i="4" s="1"/>
  <c r="R71" i="4"/>
  <c r="X71" i="4" s="1"/>
  <c r="Z71" i="4" s="1"/>
  <c r="R69" i="4"/>
  <c r="X69" i="4" s="1"/>
  <c r="Z69" i="4" s="1"/>
  <c r="R68" i="4"/>
  <c r="X68" i="4" s="1"/>
  <c r="Z68" i="4" s="1"/>
  <c r="R67" i="4"/>
  <c r="X67" i="4" s="1"/>
  <c r="Z67" i="4" s="1"/>
  <c r="R66" i="4"/>
  <c r="X66" i="4" s="1"/>
  <c r="Z66" i="4" s="1"/>
  <c r="R65" i="4"/>
  <c r="X65" i="4" s="1"/>
  <c r="Z65" i="4" s="1"/>
  <c r="R64" i="4"/>
  <c r="X64" i="4" s="1"/>
  <c r="Z64" i="4" s="1"/>
  <c r="R63" i="4"/>
  <c r="X63" i="4" s="1"/>
  <c r="Z63" i="4" s="1"/>
  <c r="R62" i="4"/>
  <c r="X62" i="4" s="1"/>
  <c r="Z62" i="4" s="1"/>
  <c r="R61" i="4"/>
  <c r="X61" i="4" s="1"/>
  <c r="Z61" i="4" s="1"/>
  <c r="R60" i="4"/>
  <c r="X60" i="4" s="1"/>
  <c r="Z60" i="4" s="1"/>
  <c r="R59" i="4"/>
  <c r="X59" i="4" s="1"/>
  <c r="Z59" i="4" s="1"/>
  <c r="R58" i="4"/>
  <c r="X58" i="4" s="1"/>
  <c r="Z58" i="4" s="1"/>
  <c r="R57" i="4"/>
  <c r="X57" i="4" s="1"/>
  <c r="Z57" i="4" s="1"/>
  <c r="R56" i="4"/>
  <c r="X56" i="4" s="1"/>
  <c r="Z56" i="4" s="1"/>
  <c r="R55" i="4"/>
  <c r="X55" i="4" s="1"/>
  <c r="Z55" i="4" s="1"/>
  <c r="R54" i="4"/>
  <c r="X54" i="4" s="1"/>
  <c r="Z54" i="4" s="1"/>
  <c r="R53" i="4"/>
  <c r="X53" i="4" s="1"/>
  <c r="Z53" i="4" s="1"/>
  <c r="R52" i="4"/>
  <c r="X52" i="4" s="1"/>
  <c r="Z52" i="4" s="1"/>
  <c r="R51" i="4"/>
  <c r="X51" i="4" s="1"/>
  <c r="Z51" i="4" s="1"/>
  <c r="R50" i="4"/>
  <c r="X50" i="4" s="1"/>
  <c r="R49" i="4"/>
  <c r="X49" i="4" s="1"/>
  <c r="R48" i="4"/>
  <c r="X48" i="4" s="1"/>
  <c r="R46" i="4"/>
  <c r="X46" i="4" s="1"/>
  <c r="R45" i="4"/>
  <c r="X45" i="4" s="1"/>
  <c r="R44" i="4"/>
  <c r="X44" i="4" s="1"/>
  <c r="R43" i="4"/>
  <c r="X43" i="4" s="1"/>
  <c r="R42" i="4"/>
  <c r="X42" i="4" s="1"/>
  <c r="R41" i="4"/>
  <c r="X41" i="4" s="1"/>
  <c r="R40" i="4"/>
  <c r="X40" i="4" s="1"/>
  <c r="R39" i="4"/>
  <c r="X39" i="4" s="1"/>
  <c r="R37" i="4"/>
  <c r="X37" i="4" s="1"/>
  <c r="R36" i="4"/>
  <c r="X36" i="4" s="1"/>
  <c r="R35" i="4"/>
  <c r="X35" i="4" s="1"/>
  <c r="R34" i="4"/>
  <c r="X34" i="4" s="1"/>
  <c r="R32" i="4"/>
  <c r="X32" i="4" s="1"/>
  <c r="R31" i="4"/>
  <c r="X31" i="4" s="1"/>
  <c r="R30" i="4"/>
  <c r="X30" i="4" s="1"/>
  <c r="R29" i="4"/>
  <c r="X29" i="4" s="1"/>
  <c r="R28" i="4"/>
  <c r="X28" i="4" s="1"/>
  <c r="R27" i="4"/>
  <c r="X27" i="4" s="1"/>
  <c r="R26" i="4"/>
  <c r="X26" i="4" s="1"/>
  <c r="R25" i="4"/>
  <c r="X25" i="4" s="1"/>
  <c r="R24" i="4"/>
  <c r="X24" i="4" s="1"/>
  <c r="R23" i="4"/>
  <c r="X23" i="4" s="1"/>
  <c r="R22" i="4"/>
  <c r="X22" i="4" s="1"/>
  <c r="R21" i="4"/>
  <c r="X21" i="4" s="1"/>
  <c r="R20" i="4"/>
  <c r="X20" i="4" s="1"/>
  <c r="R19" i="4"/>
  <c r="X19" i="4" s="1"/>
  <c r="R18" i="4"/>
  <c r="X18" i="4" s="1"/>
  <c r="R17" i="4"/>
  <c r="X17" i="4" s="1"/>
  <c r="R16" i="4"/>
  <c r="X16" i="4" s="1"/>
  <c r="F51" i="6"/>
  <c r="G51" i="6" s="1"/>
  <c r="H51" i="6" s="1"/>
  <c r="F52" i="6"/>
  <c r="G52" i="6" s="1"/>
  <c r="H52" i="6" s="1"/>
  <c r="F53" i="6"/>
  <c r="G53" i="6" s="1"/>
  <c r="H53" i="6" s="1"/>
  <c r="F54" i="6"/>
  <c r="G54" i="6" s="1"/>
  <c r="H54" i="6" s="1"/>
  <c r="F55" i="6"/>
  <c r="G55" i="6" s="1"/>
  <c r="H55" i="6" s="1"/>
  <c r="F56" i="6"/>
  <c r="G56" i="6" s="1"/>
  <c r="H56" i="6" s="1"/>
  <c r="F57" i="6"/>
  <c r="G57" i="6" s="1"/>
  <c r="H57" i="6" s="1"/>
  <c r="F58" i="6"/>
  <c r="G58" i="6" s="1"/>
  <c r="H58" i="6" s="1"/>
  <c r="F59" i="6"/>
  <c r="G59" i="6" s="1"/>
  <c r="H59" i="6" s="1"/>
  <c r="F60" i="6"/>
  <c r="G60" i="6" s="1"/>
  <c r="H60" i="6" s="1"/>
  <c r="F61" i="6"/>
  <c r="G61" i="6" s="1"/>
  <c r="H61" i="6" s="1"/>
  <c r="F62" i="6"/>
  <c r="G62" i="6" s="1"/>
  <c r="H62" i="6" s="1"/>
  <c r="F63" i="6"/>
  <c r="G63" i="6" s="1"/>
  <c r="H63" i="6" s="1"/>
  <c r="F64" i="6"/>
  <c r="G64" i="6" s="1"/>
  <c r="H64" i="6" s="1"/>
  <c r="F65" i="6"/>
  <c r="G65" i="6" s="1"/>
  <c r="H65" i="6" s="1"/>
  <c r="F66" i="6"/>
  <c r="G66" i="6" s="1"/>
  <c r="H66" i="6" s="1"/>
  <c r="F67" i="6"/>
  <c r="G67" i="6" s="1"/>
  <c r="H67" i="6" s="1"/>
  <c r="F68" i="6"/>
  <c r="G68" i="6" s="1"/>
  <c r="H68" i="6" s="1"/>
  <c r="F50" i="6"/>
  <c r="G50" i="6" s="1"/>
  <c r="H50" i="6" s="1"/>
  <c r="L10" i="6"/>
  <c r="L13" i="6" s="1"/>
  <c r="AB80" i="4" l="1"/>
  <c r="Q80" i="4"/>
  <c r="W80" i="4" s="1"/>
  <c r="Q70" i="4"/>
  <c r="W70" i="4" s="1"/>
  <c r="S80" i="4"/>
  <c r="Y80" i="4" s="1"/>
  <c r="N10" i="7"/>
  <c r="S70" i="4"/>
  <c r="Y70" i="4" s="1"/>
  <c r="AB70" i="4"/>
  <c r="AC70" i="4"/>
  <c r="D10" i="7"/>
  <c r="D13" i="7" s="1"/>
  <c r="D15" i="7" s="1"/>
  <c r="D16" i="7" s="1"/>
  <c r="D17" i="7" s="1"/>
  <c r="D18" i="7" s="1"/>
  <c r="D39" i="7"/>
  <c r="I39" i="7" s="1"/>
  <c r="P80" i="4"/>
  <c r="V80" i="4" s="1"/>
  <c r="P70" i="4"/>
  <c r="V70" i="4" s="1"/>
  <c r="AB54" i="4"/>
  <c r="AC54" i="4"/>
  <c r="AB57" i="4"/>
  <c r="AC57" i="4"/>
  <c r="AB58" i="4"/>
  <c r="AC58" i="4"/>
  <c r="AB59" i="4"/>
  <c r="AC59" i="4"/>
  <c r="AB60" i="4"/>
  <c r="AC60" i="4"/>
  <c r="AB61" i="4"/>
  <c r="AC61" i="4"/>
  <c r="AB62" i="4"/>
  <c r="AC62" i="4"/>
  <c r="AB63" i="4"/>
  <c r="AC63" i="4"/>
  <c r="AB64" i="4"/>
  <c r="AC64" i="4"/>
  <c r="AB66" i="4"/>
  <c r="AC66" i="4"/>
  <c r="AB67" i="4"/>
  <c r="AC67" i="4"/>
  <c r="AB68" i="4"/>
  <c r="AC68" i="4"/>
  <c r="AB69" i="4"/>
  <c r="AC69" i="4"/>
  <c r="AB71" i="4"/>
  <c r="AC71" i="4"/>
  <c r="AB72" i="4"/>
  <c r="AC72" i="4"/>
  <c r="AB65" i="4"/>
  <c r="AA65" i="4"/>
  <c r="AC65" i="4" s="1"/>
  <c r="AB55" i="4"/>
  <c r="AA55" i="4"/>
  <c r="AB53" i="4"/>
  <c r="AB56" i="4"/>
  <c r="P92" i="4"/>
  <c r="P47" i="4"/>
  <c r="V47" i="4" s="1"/>
  <c r="P33" i="4"/>
  <c r="V33" i="4" s="1"/>
  <c r="P38" i="4"/>
  <c r="V38" i="4" s="1"/>
  <c r="Q92" i="4"/>
  <c r="Q47" i="4"/>
  <c r="W47" i="4" s="1"/>
  <c r="Q38" i="4"/>
  <c r="W38" i="4" s="1"/>
  <c r="Q33" i="4"/>
  <c r="W33" i="4" s="1"/>
  <c r="S92" i="4"/>
  <c r="S47" i="4"/>
  <c r="Y47" i="4" s="1"/>
  <c r="Z47" i="4" s="1"/>
  <c r="S33" i="4"/>
  <c r="Y33" i="4" s="1"/>
  <c r="Z33" i="4" s="1"/>
  <c r="S38" i="4"/>
  <c r="Y38" i="4" s="1"/>
  <c r="Z38" i="4" s="1"/>
  <c r="L55" i="6"/>
  <c r="L58" i="6" s="1"/>
  <c r="Z73" i="4"/>
  <c r="Z74" i="4"/>
  <c r="Z75" i="4"/>
  <c r="Z76" i="4"/>
  <c r="Z77" i="4"/>
  <c r="Z78" i="4"/>
  <c r="Z79" i="4"/>
  <c r="Z81" i="4"/>
  <c r="Z82" i="4"/>
  <c r="Z83" i="4"/>
  <c r="Z84" i="4"/>
  <c r="Z85" i="4"/>
  <c r="Z86" i="4"/>
  <c r="Z87" i="4"/>
  <c r="Z88" i="4"/>
  <c r="Z89" i="4"/>
  <c r="Z90" i="4"/>
  <c r="Z91" i="4"/>
  <c r="Z93" i="4"/>
  <c r="Z94" i="4"/>
  <c r="Z95" i="4"/>
  <c r="Z96" i="4"/>
  <c r="AC96" i="4" s="1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P126" i="4"/>
  <c r="V126" i="4" s="1"/>
  <c r="P125" i="4"/>
  <c r="V125" i="4" s="1"/>
  <c r="P124" i="4"/>
  <c r="V124" i="4" s="1"/>
  <c r="P123" i="4"/>
  <c r="V123" i="4" s="1"/>
  <c r="P122" i="4"/>
  <c r="V122" i="4" s="1"/>
  <c r="P121" i="4"/>
  <c r="V121" i="4" s="1"/>
  <c r="P120" i="4"/>
  <c r="V120" i="4" s="1"/>
  <c r="P119" i="4"/>
  <c r="V119" i="4" s="1"/>
  <c r="P118" i="4"/>
  <c r="V118" i="4" s="1"/>
  <c r="P117" i="4"/>
  <c r="V117" i="4" s="1"/>
  <c r="P116" i="4"/>
  <c r="V116" i="4" s="1"/>
  <c r="P115" i="4"/>
  <c r="V115" i="4" s="1"/>
  <c r="P114" i="4"/>
  <c r="V114" i="4" s="1"/>
  <c r="P113" i="4"/>
  <c r="V113" i="4" s="1"/>
  <c r="P112" i="4"/>
  <c r="V112" i="4" s="1"/>
  <c r="P111" i="4"/>
  <c r="V111" i="4" s="1"/>
  <c r="P110" i="4"/>
  <c r="V110" i="4" s="1"/>
  <c r="P109" i="4"/>
  <c r="V109" i="4" s="1"/>
  <c r="P108" i="4"/>
  <c r="V108" i="4" s="1"/>
  <c r="P107" i="4"/>
  <c r="V107" i="4" s="1"/>
  <c r="P106" i="4"/>
  <c r="V106" i="4" s="1"/>
  <c r="P105" i="4"/>
  <c r="V105" i="4" s="1"/>
  <c r="P104" i="4"/>
  <c r="V104" i="4" s="1"/>
  <c r="P103" i="4"/>
  <c r="V103" i="4" s="1"/>
  <c r="P102" i="4"/>
  <c r="V102" i="4" s="1"/>
  <c r="P101" i="4"/>
  <c r="V101" i="4" s="1"/>
  <c r="P100" i="4"/>
  <c r="V100" i="4" s="1"/>
  <c r="P99" i="4"/>
  <c r="V99" i="4" s="1"/>
  <c r="P98" i="4"/>
  <c r="V98" i="4" s="1"/>
  <c r="P97" i="4"/>
  <c r="V97" i="4" s="1"/>
  <c r="P96" i="4"/>
  <c r="V96" i="4" s="1"/>
  <c r="P95" i="4"/>
  <c r="V95" i="4" s="1"/>
  <c r="P94" i="4"/>
  <c r="V94" i="4" s="1"/>
  <c r="P93" i="4"/>
  <c r="V93" i="4" s="1"/>
  <c r="P91" i="4"/>
  <c r="V91" i="4" s="1"/>
  <c r="P90" i="4"/>
  <c r="V90" i="4" s="1"/>
  <c r="P89" i="4"/>
  <c r="V89" i="4" s="1"/>
  <c r="P88" i="4"/>
  <c r="V88" i="4" s="1"/>
  <c r="P87" i="4"/>
  <c r="V87" i="4" s="1"/>
  <c r="P86" i="4"/>
  <c r="V86" i="4" s="1"/>
  <c r="P85" i="4"/>
  <c r="V85" i="4" s="1"/>
  <c r="P84" i="4"/>
  <c r="V84" i="4" s="1"/>
  <c r="P83" i="4"/>
  <c r="V83" i="4" s="1"/>
  <c r="P82" i="4"/>
  <c r="V82" i="4" s="1"/>
  <c r="P81" i="4"/>
  <c r="V81" i="4" s="1"/>
  <c r="P79" i="4"/>
  <c r="V79" i="4" s="1"/>
  <c r="P78" i="4"/>
  <c r="V78" i="4" s="1"/>
  <c r="P77" i="4"/>
  <c r="V77" i="4" s="1"/>
  <c r="P76" i="4"/>
  <c r="V76" i="4" s="1"/>
  <c r="P75" i="4"/>
  <c r="V75" i="4" s="1"/>
  <c r="P74" i="4"/>
  <c r="V74" i="4" s="1"/>
  <c r="P73" i="4"/>
  <c r="V73" i="4" s="1"/>
  <c r="P72" i="4"/>
  <c r="V72" i="4" s="1"/>
  <c r="P71" i="4"/>
  <c r="V71" i="4" s="1"/>
  <c r="P69" i="4"/>
  <c r="V69" i="4" s="1"/>
  <c r="P68" i="4"/>
  <c r="V68" i="4" s="1"/>
  <c r="P67" i="4"/>
  <c r="V67" i="4" s="1"/>
  <c r="P66" i="4"/>
  <c r="V66" i="4" s="1"/>
  <c r="P65" i="4"/>
  <c r="V65" i="4" s="1"/>
  <c r="P64" i="4"/>
  <c r="V64" i="4" s="1"/>
  <c r="P63" i="4"/>
  <c r="V63" i="4" s="1"/>
  <c r="P62" i="4"/>
  <c r="V62" i="4" s="1"/>
  <c r="P61" i="4"/>
  <c r="V61" i="4" s="1"/>
  <c r="P60" i="4"/>
  <c r="V60" i="4" s="1"/>
  <c r="P59" i="4"/>
  <c r="V59" i="4" s="1"/>
  <c r="P58" i="4"/>
  <c r="V58" i="4" s="1"/>
  <c r="P57" i="4"/>
  <c r="V57" i="4" s="1"/>
  <c r="P56" i="4"/>
  <c r="V56" i="4" s="1"/>
  <c r="P55" i="4"/>
  <c r="V55" i="4" s="1"/>
  <c r="P54" i="4"/>
  <c r="V54" i="4" s="1"/>
  <c r="P53" i="4"/>
  <c r="V53" i="4" s="1"/>
  <c r="P52" i="4"/>
  <c r="V52" i="4" s="1"/>
  <c r="P51" i="4"/>
  <c r="V51" i="4" s="1"/>
  <c r="P50" i="4"/>
  <c r="V50" i="4" s="1"/>
  <c r="P49" i="4"/>
  <c r="V49" i="4" s="1"/>
  <c r="P48" i="4"/>
  <c r="V48" i="4" s="1"/>
  <c r="P46" i="4"/>
  <c r="V46" i="4" s="1"/>
  <c r="P45" i="4"/>
  <c r="V45" i="4" s="1"/>
  <c r="P44" i="4"/>
  <c r="V44" i="4" s="1"/>
  <c r="P43" i="4"/>
  <c r="V43" i="4" s="1"/>
  <c r="P42" i="4"/>
  <c r="V42" i="4" s="1"/>
  <c r="P41" i="4"/>
  <c r="V41" i="4" s="1"/>
  <c r="P40" i="4"/>
  <c r="V40" i="4" s="1"/>
  <c r="P39" i="4"/>
  <c r="V39" i="4" s="1"/>
  <c r="P37" i="4"/>
  <c r="V37" i="4" s="1"/>
  <c r="P36" i="4"/>
  <c r="V36" i="4" s="1"/>
  <c r="P35" i="4"/>
  <c r="V35" i="4" s="1"/>
  <c r="P34" i="4"/>
  <c r="V34" i="4" s="1"/>
  <c r="P32" i="4"/>
  <c r="V32" i="4" s="1"/>
  <c r="P31" i="4"/>
  <c r="V31" i="4" s="1"/>
  <c r="P30" i="4"/>
  <c r="V30" i="4" s="1"/>
  <c r="P29" i="4"/>
  <c r="V29" i="4" s="1"/>
  <c r="P28" i="4"/>
  <c r="V28" i="4" s="1"/>
  <c r="P27" i="4"/>
  <c r="V27" i="4" s="1"/>
  <c r="P26" i="4"/>
  <c r="V26" i="4" s="1"/>
  <c r="P25" i="4"/>
  <c r="V25" i="4" s="1"/>
  <c r="P24" i="4"/>
  <c r="V24" i="4" s="1"/>
  <c r="P23" i="4"/>
  <c r="V23" i="4" s="1"/>
  <c r="P22" i="4"/>
  <c r="V22" i="4" s="1"/>
  <c r="P21" i="4"/>
  <c r="V21" i="4" s="1"/>
  <c r="P20" i="4"/>
  <c r="V20" i="4" s="1"/>
  <c r="P19" i="4"/>
  <c r="V19" i="4" s="1"/>
  <c r="P18" i="4"/>
  <c r="V18" i="4" s="1"/>
  <c r="P17" i="4"/>
  <c r="V17" i="4" s="1"/>
  <c r="P16" i="4"/>
  <c r="V16" i="4" s="1"/>
  <c r="Q126" i="4"/>
  <c r="W126" i="4" s="1"/>
  <c r="Q125" i="4"/>
  <c r="W125" i="4" s="1"/>
  <c r="Q124" i="4"/>
  <c r="W124" i="4" s="1"/>
  <c r="Q123" i="4"/>
  <c r="W123" i="4" s="1"/>
  <c r="Q122" i="4"/>
  <c r="W122" i="4" s="1"/>
  <c r="Q121" i="4"/>
  <c r="W121" i="4" s="1"/>
  <c r="Q120" i="4"/>
  <c r="W120" i="4" s="1"/>
  <c r="Q119" i="4"/>
  <c r="W119" i="4" s="1"/>
  <c r="Q118" i="4"/>
  <c r="W118" i="4" s="1"/>
  <c r="Q117" i="4"/>
  <c r="W117" i="4" s="1"/>
  <c r="Q116" i="4"/>
  <c r="W116" i="4" s="1"/>
  <c r="Q115" i="4"/>
  <c r="W115" i="4" s="1"/>
  <c r="Q114" i="4"/>
  <c r="W114" i="4" s="1"/>
  <c r="Q113" i="4"/>
  <c r="W113" i="4" s="1"/>
  <c r="Q112" i="4"/>
  <c r="W112" i="4" s="1"/>
  <c r="Q111" i="4"/>
  <c r="W111" i="4" s="1"/>
  <c r="Q110" i="4"/>
  <c r="W110" i="4" s="1"/>
  <c r="Q109" i="4"/>
  <c r="W109" i="4" s="1"/>
  <c r="Q108" i="4"/>
  <c r="W108" i="4" s="1"/>
  <c r="Q107" i="4"/>
  <c r="W107" i="4" s="1"/>
  <c r="Q106" i="4"/>
  <c r="W106" i="4" s="1"/>
  <c r="Q105" i="4"/>
  <c r="W105" i="4" s="1"/>
  <c r="Q104" i="4"/>
  <c r="W104" i="4" s="1"/>
  <c r="Q103" i="4"/>
  <c r="W103" i="4" s="1"/>
  <c r="Q102" i="4"/>
  <c r="W102" i="4" s="1"/>
  <c r="Q101" i="4"/>
  <c r="W101" i="4" s="1"/>
  <c r="Q100" i="4"/>
  <c r="W100" i="4" s="1"/>
  <c r="Q99" i="4"/>
  <c r="W99" i="4" s="1"/>
  <c r="Q98" i="4"/>
  <c r="W98" i="4" s="1"/>
  <c r="Q97" i="4"/>
  <c r="W97" i="4" s="1"/>
  <c r="Q96" i="4"/>
  <c r="W96" i="4" s="1"/>
  <c r="Q95" i="4"/>
  <c r="W95" i="4" s="1"/>
  <c r="Q94" i="4"/>
  <c r="W94" i="4" s="1"/>
  <c r="Q93" i="4"/>
  <c r="W93" i="4" s="1"/>
  <c r="Q91" i="4"/>
  <c r="W91" i="4" s="1"/>
  <c r="Q90" i="4"/>
  <c r="W90" i="4" s="1"/>
  <c r="Q89" i="4"/>
  <c r="W89" i="4" s="1"/>
  <c r="Q88" i="4"/>
  <c r="W88" i="4" s="1"/>
  <c r="Q87" i="4"/>
  <c r="W87" i="4" s="1"/>
  <c r="Q86" i="4"/>
  <c r="W86" i="4" s="1"/>
  <c r="Q85" i="4"/>
  <c r="W85" i="4" s="1"/>
  <c r="Q84" i="4"/>
  <c r="W84" i="4" s="1"/>
  <c r="Q83" i="4"/>
  <c r="W83" i="4" s="1"/>
  <c r="Q82" i="4"/>
  <c r="W82" i="4" s="1"/>
  <c r="Q81" i="4"/>
  <c r="W81" i="4" s="1"/>
  <c r="Q79" i="4"/>
  <c r="W79" i="4" s="1"/>
  <c r="Q78" i="4"/>
  <c r="W78" i="4" s="1"/>
  <c r="Q77" i="4"/>
  <c r="W77" i="4" s="1"/>
  <c r="Q76" i="4"/>
  <c r="W76" i="4" s="1"/>
  <c r="Q75" i="4"/>
  <c r="W75" i="4" s="1"/>
  <c r="Q74" i="4"/>
  <c r="W74" i="4" s="1"/>
  <c r="Q73" i="4"/>
  <c r="W73" i="4" s="1"/>
  <c r="Q72" i="4"/>
  <c r="W72" i="4" s="1"/>
  <c r="Q71" i="4"/>
  <c r="W71" i="4" s="1"/>
  <c r="Q69" i="4"/>
  <c r="W69" i="4" s="1"/>
  <c r="Q68" i="4"/>
  <c r="W68" i="4" s="1"/>
  <c r="Q67" i="4"/>
  <c r="W67" i="4" s="1"/>
  <c r="Q66" i="4"/>
  <c r="W66" i="4" s="1"/>
  <c r="Q65" i="4"/>
  <c r="W65" i="4" s="1"/>
  <c r="Q64" i="4"/>
  <c r="W64" i="4" s="1"/>
  <c r="Q63" i="4"/>
  <c r="W63" i="4" s="1"/>
  <c r="Q62" i="4"/>
  <c r="W62" i="4" s="1"/>
  <c r="Q61" i="4"/>
  <c r="W61" i="4" s="1"/>
  <c r="Q60" i="4"/>
  <c r="W60" i="4" s="1"/>
  <c r="Q59" i="4"/>
  <c r="W59" i="4" s="1"/>
  <c r="Q58" i="4"/>
  <c r="W58" i="4" s="1"/>
  <c r="Q57" i="4"/>
  <c r="W57" i="4" s="1"/>
  <c r="Q56" i="4"/>
  <c r="W56" i="4" s="1"/>
  <c r="Q55" i="4"/>
  <c r="W55" i="4" s="1"/>
  <c r="Q54" i="4"/>
  <c r="W54" i="4" s="1"/>
  <c r="Q53" i="4"/>
  <c r="W53" i="4" s="1"/>
  <c r="Q52" i="4"/>
  <c r="W52" i="4" s="1"/>
  <c r="Q51" i="4"/>
  <c r="W51" i="4" s="1"/>
  <c r="Q50" i="4"/>
  <c r="W50" i="4" s="1"/>
  <c r="Q49" i="4"/>
  <c r="W49" i="4" s="1"/>
  <c r="Q48" i="4"/>
  <c r="W48" i="4" s="1"/>
  <c r="Q46" i="4"/>
  <c r="W46" i="4" s="1"/>
  <c r="Q45" i="4"/>
  <c r="W45" i="4" s="1"/>
  <c r="Q44" i="4"/>
  <c r="W44" i="4" s="1"/>
  <c r="Q43" i="4"/>
  <c r="W43" i="4" s="1"/>
  <c r="Q42" i="4"/>
  <c r="W42" i="4" s="1"/>
  <c r="Q41" i="4"/>
  <c r="W41" i="4" s="1"/>
  <c r="Q40" i="4"/>
  <c r="W40" i="4" s="1"/>
  <c r="Q39" i="4"/>
  <c r="W39" i="4" s="1"/>
  <c r="Q37" i="4"/>
  <c r="W37" i="4" s="1"/>
  <c r="Q36" i="4"/>
  <c r="W36" i="4" s="1"/>
  <c r="Q35" i="4"/>
  <c r="W35" i="4" s="1"/>
  <c r="Q34" i="4"/>
  <c r="W34" i="4" s="1"/>
  <c r="Q32" i="4"/>
  <c r="W32" i="4" s="1"/>
  <c r="Q31" i="4"/>
  <c r="W31" i="4" s="1"/>
  <c r="Q30" i="4"/>
  <c r="W30" i="4" s="1"/>
  <c r="Q29" i="4"/>
  <c r="W29" i="4" s="1"/>
  <c r="Q28" i="4"/>
  <c r="W28" i="4" s="1"/>
  <c r="Q27" i="4"/>
  <c r="W27" i="4" s="1"/>
  <c r="Q26" i="4"/>
  <c r="W26" i="4" s="1"/>
  <c r="Q25" i="4"/>
  <c r="W25" i="4" s="1"/>
  <c r="Q24" i="4"/>
  <c r="W24" i="4" s="1"/>
  <c r="Q23" i="4"/>
  <c r="W23" i="4" s="1"/>
  <c r="Q22" i="4"/>
  <c r="W22" i="4" s="1"/>
  <c r="Q21" i="4"/>
  <c r="W21" i="4" s="1"/>
  <c r="Q20" i="4"/>
  <c r="W20" i="4" s="1"/>
  <c r="Q19" i="4"/>
  <c r="W19" i="4" s="1"/>
  <c r="Q18" i="4"/>
  <c r="W18" i="4" s="1"/>
  <c r="Q17" i="4"/>
  <c r="W17" i="4" s="1"/>
  <c r="Q16" i="4"/>
  <c r="W16" i="4" s="1"/>
  <c r="S126" i="4"/>
  <c r="Y126" i="4" s="1"/>
  <c r="S125" i="4"/>
  <c r="Y125" i="4" s="1"/>
  <c r="S124" i="4"/>
  <c r="Y124" i="4" s="1"/>
  <c r="S123" i="4"/>
  <c r="Y123" i="4" s="1"/>
  <c r="S122" i="4"/>
  <c r="Y122" i="4" s="1"/>
  <c r="S121" i="4"/>
  <c r="Y121" i="4" s="1"/>
  <c r="S120" i="4"/>
  <c r="Y120" i="4" s="1"/>
  <c r="S119" i="4"/>
  <c r="Y119" i="4" s="1"/>
  <c r="S118" i="4"/>
  <c r="Y118" i="4" s="1"/>
  <c r="S117" i="4"/>
  <c r="Y117" i="4" s="1"/>
  <c r="S116" i="4"/>
  <c r="Y116" i="4" s="1"/>
  <c r="S115" i="4"/>
  <c r="Y115" i="4" s="1"/>
  <c r="S114" i="4"/>
  <c r="Y114" i="4" s="1"/>
  <c r="S113" i="4"/>
  <c r="Y113" i="4" s="1"/>
  <c r="S112" i="4"/>
  <c r="Y112" i="4" s="1"/>
  <c r="S111" i="4"/>
  <c r="Y111" i="4" s="1"/>
  <c r="S110" i="4"/>
  <c r="Y110" i="4" s="1"/>
  <c r="S109" i="4"/>
  <c r="Y109" i="4" s="1"/>
  <c r="S108" i="4"/>
  <c r="Y108" i="4" s="1"/>
  <c r="S107" i="4"/>
  <c r="Y107" i="4" s="1"/>
  <c r="S106" i="4"/>
  <c r="Y106" i="4" s="1"/>
  <c r="S105" i="4"/>
  <c r="Y105" i="4" s="1"/>
  <c r="S104" i="4"/>
  <c r="Y104" i="4" s="1"/>
  <c r="S103" i="4"/>
  <c r="Y103" i="4" s="1"/>
  <c r="S102" i="4"/>
  <c r="Y102" i="4" s="1"/>
  <c r="S101" i="4"/>
  <c r="Y101" i="4" s="1"/>
  <c r="S100" i="4"/>
  <c r="Y100" i="4" s="1"/>
  <c r="S99" i="4"/>
  <c r="Y99" i="4" s="1"/>
  <c r="S98" i="4"/>
  <c r="Y98" i="4" s="1"/>
  <c r="S97" i="4"/>
  <c r="Y97" i="4" s="1"/>
  <c r="S96" i="4"/>
  <c r="Y96" i="4" s="1"/>
  <c r="S95" i="4"/>
  <c r="Y95" i="4" s="1"/>
  <c r="S94" i="4"/>
  <c r="Y94" i="4" s="1"/>
  <c r="S93" i="4"/>
  <c r="Y93" i="4" s="1"/>
  <c r="S91" i="4"/>
  <c r="Y91" i="4" s="1"/>
  <c r="S90" i="4"/>
  <c r="Y90" i="4" s="1"/>
  <c r="S89" i="4"/>
  <c r="Y89" i="4" s="1"/>
  <c r="S88" i="4"/>
  <c r="Y88" i="4" s="1"/>
  <c r="S87" i="4"/>
  <c r="Y87" i="4" s="1"/>
  <c r="S86" i="4"/>
  <c r="Y86" i="4" s="1"/>
  <c r="S85" i="4"/>
  <c r="Y85" i="4" s="1"/>
  <c r="S84" i="4"/>
  <c r="Y84" i="4" s="1"/>
  <c r="S83" i="4"/>
  <c r="Y83" i="4" s="1"/>
  <c r="S82" i="4"/>
  <c r="Y82" i="4" s="1"/>
  <c r="S81" i="4"/>
  <c r="Y81" i="4" s="1"/>
  <c r="S79" i="4"/>
  <c r="Y79" i="4" s="1"/>
  <c r="S78" i="4"/>
  <c r="Y78" i="4" s="1"/>
  <c r="S77" i="4"/>
  <c r="Y77" i="4" s="1"/>
  <c r="S76" i="4"/>
  <c r="Y76" i="4" s="1"/>
  <c r="S75" i="4"/>
  <c r="Y75" i="4" s="1"/>
  <c r="S74" i="4"/>
  <c r="Y74" i="4" s="1"/>
  <c r="S73" i="4"/>
  <c r="Y73" i="4" s="1"/>
  <c r="S72" i="4"/>
  <c r="Y72" i="4" s="1"/>
  <c r="S71" i="4"/>
  <c r="Y71" i="4" s="1"/>
  <c r="S69" i="4"/>
  <c r="Y69" i="4" s="1"/>
  <c r="S68" i="4"/>
  <c r="Y68" i="4" s="1"/>
  <c r="S67" i="4"/>
  <c r="Y67" i="4" s="1"/>
  <c r="S66" i="4"/>
  <c r="Y66" i="4" s="1"/>
  <c r="S65" i="4"/>
  <c r="Y65" i="4" s="1"/>
  <c r="S64" i="4"/>
  <c r="Y64" i="4" s="1"/>
  <c r="S63" i="4"/>
  <c r="Y63" i="4" s="1"/>
  <c r="S62" i="4"/>
  <c r="Y62" i="4" s="1"/>
  <c r="S61" i="4"/>
  <c r="Y61" i="4" s="1"/>
  <c r="S60" i="4"/>
  <c r="Y60" i="4" s="1"/>
  <c r="S59" i="4"/>
  <c r="Y59" i="4" s="1"/>
  <c r="S58" i="4"/>
  <c r="Y58" i="4" s="1"/>
  <c r="S57" i="4"/>
  <c r="Y57" i="4" s="1"/>
  <c r="S56" i="4"/>
  <c r="Y56" i="4" s="1"/>
  <c r="S55" i="4"/>
  <c r="Y55" i="4" s="1"/>
  <c r="S54" i="4"/>
  <c r="Y54" i="4" s="1"/>
  <c r="S53" i="4"/>
  <c r="Y53" i="4" s="1"/>
  <c r="S52" i="4"/>
  <c r="Y52" i="4" s="1"/>
  <c r="S51" i="4"/>
  <c r="Y51" i="4" s="1"/>
  <c r="S50" i="4"/>
  <c r="Y50" i="4" s="1"/>
  <c r="S49" i="4"/>
  <c r="Y49" i="4" s="1"/>
  <c r="S48" i="4"/>
  <c r="Y48" i="4" s="1"/>
  <c r="S46" i="4"/>
  <c r="Y46" i="4" s="1"/>
  <c r="S45" i="4"/>
  <c r="Y45" i="4" s="1"/>
  <c r="S44" i="4"/>
  <c r="Y44" i="4" s="1"/>
  <c r="S43" i="4"/>
  <c r="Y43" i="4" s="1"/>
  <c r="S42" i="4"/>
  <c r="Y42" i="4" s="1"/>
  <c r="S41" i="4"/>
  <c r="Y41" i="4" s="1"/>
  <c r="S40" i="4"/>
  <c r="Y40" i="4" s="1"/>
  <c r="S39" i="4"/>
  <c r="Y39" i="4" s="1"/>
  <c r="S37" i="4"/>
  <c r="Y37" i="4" s="1"/>
  <c r="S36" i="4"/>
  <c r="Y36" i="4" s="1"/>
  <c r="S35" i="4"/>
  <c r="Y35" i="4" s="1"/>
  <c r="S34" i="4"/>
  <c r="Y34" i="4" s="1"/>
  <c r="S32" i="4"/>
  <c r="Y32" i="4" s="1"/>
  <c r="S31" i="4"/>
  <c r="Y31" i="4" s="1"/>
  <c r="S30" i="4"/>
  <c r="Y30" i="4" s="1"/>
  <c r="S29" i="4"/>
  <c r="Y29" i="4" s="1"/>
  <c r="S28" i="4"/>
  <c r="Y28" i="4" s="1"/>
  <c r="S27" i="4"/>
  <c r="Y27" i="4" s="1"/>
  <c r="S26" i="4"/>
  <c r="Y26" i="4" s="1"/>
  <c r="S25" i="4"/>
  <c r="Y25" i="4" s="1"/>
  <c r="S24" i="4"/>
  <c r="Y24" i="4" s="1"/>
  <c r="S23" i="4"/>
  <c r="Y23" i="4" s="1"/>
  <c r="S22" i="4"/>
  <c r="Y22" i="4" s="1"/>
  <c r="S21" i="4"/>
  <c r="Y21" i="4" s="1"/>
  <c r="S20" i="4"/>
  <c r="Y20" i="4" s="1"/>
  <c r="S19" i="4"/>
  <c r="Y19" i="4" s="1"/>
  <c r="S18" i="4"/>
  <c r="Y18" i="4" s="1"/>
  <c r="S17" i="4"/>
  <c r="Y17" i="4" s="1"/>
  <c r="S16" i="4"/>
  <c r="Y16" i="4" s="1"/>
  <c r="D26" i="7" l="1"/>
  <c r="N26" i="7"/>
  <c r="AC115" i="4"/>
  <c r="AC107" i="4"/>
  <c r="AC95" i="4"/>
  <c r="AC77" i="4"/>
  <c r="AA73" i="4"/>
  <c r="AC73" i="4" s="1"/>
  <c r="AC122" i="4"/>
  <c r="AC102" i="4"/>
  <c r="AC124" i="4"/>
  <c r="AC120" i="4"/>
  <c r="AC116" i="4"/>
  <c r="AC112" i="4"/>
  <c r="AC108" i="4"/>
  <c r="AC104" i="4"/>
  <c r="AC100" i="4"/>
  <c r="AA91" i="4"/>
  <c r="AC91" i="4" s="1"/>
  <c r="AC87" i="4"/>
  <c r="AC83" i="4"/>
  <c r="AC78" i="4"/>
  <c r="AC74" i="4"/>
  <c r="AC123" i="4"/>
  <c r="AC119" i="4"/>
  <c r="AC111" i="4"/>
  <c r="AC103" i="4"/>
  <c r="AC99" i="4"/>
  <c r="AC90" i="4"/>
  <c r="AA86" i="4"/>
  <c r="AC86" i="4" s="1"/>
  <c r="AC126" i="4"/>
  <c r="AC118" i="4"/>
  <c r="AC114" i="4"/>
  <c r="AC110" i="4"/>
  <c r="AC106" i="4"/>
  <c r="AC98" i="4"/>
  <c r="AC94" i="4"/>
  <c r="AC85" i="4"/>
  <c r="AC76" i="4"/>
  <c r="AC125" i="4"/>
  <c r="AC121" i="4"/>
  <c r="AC117" i="4"/>
  <c r="AC113" i="4"/>
  <c r="AC109" i="4"/>
  <c r="AC105" i="4"/>
  <c r="AC101" i="4"/>
  <c r="AC97" i="4"/>
  <c r="AC93" i="4"/>
  <c r="AA88" i="4"/>
  <c r="AC88" i="4" s="1"/>
  <c r="AC84" i="4"/>
  <c r="AC79" i="4"/>
  <c r="AC75" i="4"/>
  <c r="I10" i="7"/>
  <c r="I13" i="7" s="1"/>
  <c r="I15" i="7" s="1"/>
  <c r="I16" i="7" s="1"/>
  <c r="I17" i="7" s="1"/>
  <c r="I18" i="7" s="1"/>
  <c r="D38" i="7"/>
  <c r="I38" i="7" s="1"/>
  <c r="AC82" i="4"/>
  <c r="AA81" i="4"/>
  <c r="AC81" i="4" s="1"/>
  <c r="AC38" i="4"/>
  <c r="AB38" i="4"/>
  <c r="AB33" i="4"/>
  <c r="AC33" i="4"/>
  <c r="AC47" i="4"/>
  <c r="AB47" i="4"/>
  <c r="AA56" i="4"/>
  <c r="AC56" i="4" s="1"/>
  <c r="AC55" i="4"/>
  <c r="AB125" i="4"/>
  <c r="AB121" i="4"/>
  <c r="AB117" i="4"/>
  <c r="AB113" i="4"/>
  <c r="AB109" i="4"/>
  <c r="AB105" i="4"/>
  <c r="AB101" i="4"/>
  <c r="AB97" i="4"/>
  <c r="AB93" i="4"/>
  <c r="AB88" i="4"/>
  <c r="AB84" i="4"/>
  <c r="AB79" i="4"/>
  <c r="AB75" i="4"/>
  <c r="AB124" i="4"/>
  <c r="AB120" i="4"/>
  <c r="AB116" i="4"/>
  <c r="AB112" i="4"/>
  <c r="AB108" i="4"/>
  <c r="AB104" i="4"/>
  <c r="AB100" i="4"/>
  <c r="AB96" i="4"/>
  <c r="AB91" i="4"/>
  <c r="AB87" i="4"/>
  <c r="AB83" i="4"/>
  <c r="AB78" i="4"/>
  <c r="AB74" i="4"/>
  <c r="AB123" i="4"/>
  <c r="AB119" i="4"/>
  <c r="AB115" i="4"/>
  <c r="AB111" i="4"/>
  <c r="AB107" i="4"/>
  <c r="AB103" i="4"/>
  <c r="AB99" i="4"/>
  <c r="AB95" i="4"/>
  <c r="AB90" i="4"/>
  <c r="AB86" i="4"/>
  <c r="AB82" i="4"/>
  <c r="AB73" i="4"/>
  <c r="AB126" i="4"/>
  <c r="AB122" i="4"/>
  <c r="AB118" i="4"/>
  <c r="AB114" i="4"/>
  <c r="AB110" i="4"/>
  <c r="AB106" i="4"/>
  <c r="AB102" i="4"/>
  <c r="AB98" i="4"/>
  <c r="AB94" i="4"/>
  <c r="AB89" i="4"/>
  <c r="AB85" i="4"/>
  <c r="AB81" i="4"/>
  <c r="AB76" i="4"/>
  <c r="AB77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4" i="4"/>
  <c r="Z35" i="4"/>
  <c r="Z36" i="4"/>
  <c r="Z37" i="4"/>
  <c r="Z39" i="4"/>
  <c r="Z40" i="4"/>
  <c r="Z41" i="4"/>
  <c r="Z42" i="4"/>
  <c r="Z43" i="4"/>
  <c r="Z44" i="4"/>
  <c r="Z45" i="4"/>
  <c r="Z46" i="4"/>
  <c r="Z48" i="4"/>
  <c r="Z49" i="4"/>
  <c r="Z50" i="4"/>
  <c r="AC51" i="4"/>
  <c r="AC48" i="4" l="1"/>
  <c r="F43" i="10"/>
  <c r="AC45" i="4"/>
  <c r="AC42" i="4"/>
  <c r="AC39" i="4"/>
  <c r="AC36" i="4"/>
  <c r="AC35" i="4"/>
  <c r="AC31" i="4"/>
  <c r="AC29" i="4"/>
  <c r="AC28" i="4"/>
  <c r="AC27" i="4"/>
  <c r="AC26" i="4"/>
  <c r="AC25" i="4"/>
  <c r="AC24" i="4"/>
  <c r="AC23" i="4"/>
  <c r="AC22" i="4"/>
  <c r="AC21" i="4"/>
  <c r="AC20" i="4"/>
  <c r="AC19" i="4"/>
  <c r="AC17" i="4"/>
  <c r="AC16" i="4"/>
  <c r="AA89" i="4"/>
  <c r="AC89" i="4" s="1"/>
  <c r="AC41" i="4"/>
  <c r="AC49" i="4"/>
  <c r="AC40" i="4"/>
  <c r="AC43" i="4"/>
  <c r="H235" i="7"/>
  <c r="I235" i="7" s="1"/>
  <c r="J235" i="7" s="1"/>
  <c r="N235" i="7" s="1"/>
  <c r="H181" i="7"/>
  <c r="I181" i="7" s="1"/>
  <c r="J181" i="7" s="1"/>
  <c r="F77" i="10" s="1"/>
  <c r="H55" i="7"/>
  <c r="I55" i="7" s="1"/>
  <c r="J55" i="7" s="1"/>
  <c r="F14" i="10" s="1"/>
  <c r="H166" i="7"/>
  <c r="I166" i="7" s="1"/>
  <c r="J166" i="7" s="1"/>
  <c r="H99" i="7"/>
  <c r="I99" i="7" s="1"/>
  <c r="J99" i="7" s="1"/>
  <c r="N99" i="7" s="1"/>
  <c r="L138" i="7" s="1"/>
  <c r="M138" i="7" s="1"/>
  <c r="H211" i="7"/>
  <c r="I211" i="7" s="1"/>
  <c r="J211" i="7" s="1"/>
  <c r="F97" i="10" s="1"/>
  <c r="H179" i="7"/>
  <c r="I179" i="7" s="1"/>
  <c r="J179" i="7" s="1"/>
  <c r="F75" i="10" s="1"/>
  <c r="H92" i="7"/>
  <c r="I92" i="7" s="1"/>
  <c r="J92" i="7" s="1"/>
  <c r="N92" i="7" s="1"/>
  <c r="L131" i="7" s="1"/>
  <c r="M131" i="7" s="1"/>
  <c r="H90" i="7"/>
  <c r="I90" i="7" s="1"/>
  <c r="J90" i="7" s="1"/>
  <c r="N90" i="7" s="1"/>
  <c r="L129" i="7" s="1"/>
  <c r="M129" i="7" s="1"/>
  <c r="H139" i="7"/>
  <c r="I139" i="7" s="1"/>
  <c r="J139" i="7" s="1"/>
  <c r="N139" i="7" s="1"/>
  <c r="L178" i="7" s="1"/>
  <c r="M178" i="7" s="1"/>
  <c r="H234" i="7"/>
  <c r="I234" i="7" s="1"/>
  <c r="J234" i="7" s="1"/>
  <c r="H168" i="7"/>
  <c r="I168" i="7" s="1"/>
  <c r="J168" i="7" s="1"/>
  <c r="N168" i="7" s="1"/>
  <c r="L207" i="7" s="1"/>
  <c r="M207" i="7" s="1"/>
  <c r="H108" i="7"/>
  <c r="H56" i="7"/>
  <c r="I56" i="7" s="1"/>
  <c r="J56" i="7" s="1"/>
  <c r="F15" i="10" s="1"/>
  <c r="H233" i="7"/>
  <c r="I233" i="7" s="1"/>
  <c r="J233" i="7" s="1"/>
  <c r="F111" i="10" s="1"/>
  <c r="H197" i="7"/>
  <c r="I197" i="7" s="1"/>
  <c r="J197" i="7" s="1"/>
  <c r="F88" i="10" s="1"/>
  <c r="H175" i="7"/>
  <c r="I175" i="7" s="1"/>
  <c r="J175" i="7" s="1"/>
  <c r="H136" i="7"/>
  <c r="I136" i="7" s="1"/>
  <c r="J136" i="7" s="1"/>
  <c r="N136" i="7" s="1"/>
  <c r="L175" i="7" s="1"/>
  <c r="M175" i="7" s="1"/>
  <c r="H111" i="7"/>
  <c r="I111" i="7" s="1"/>
  <c r="J111" i="7" s="1"/>
  <c r="N111" i="7" s="1"/>
  <c r="L150" i="7" s="1"/>
  <c r="M150" i="7" s="1"/>
  <c r="H76" i="7"/>
  <c r="I76" i="7" s="1"/>
  <c r="J76" i="7" s="1"/>
  <c r="N76" i="7" s="1"/>
  <c r="L115" i="7" s="1"/>
  <c r="M115" i="7" s="1"/>
  <c r="H113" i="7"/>
  <c r="I113" i="7" s="1"/>
  <c r="J113" i="7" s="1"/>
  <c r="N113" i="7" s="1"/>
  <c r="L152" i="7" s="1"/>
  <c r="M152" i="7" s="1"/>
  <c r="H51" i="7"/>
  <c r="I51" i="7" s="1"/>
  <c r="J51" i="7" s="1"/>
  <c r="N51" i="7" s="1"/>
  <c r="L90" i="7" s="1"/>
  <c r="M90" i="7" s="1"/>
  <c r="H131" i="7"/>
  <c r="I131" i="7" s="1"/>
  <c r="J131" i="7" s="1"/>
  <c r="F54" i="10" s="1"/>
  <c r="H95" i="7"/>
  <c r="I95" i="7" s="1"/>
  <c r="J95" i="7" s="1"/>
  <c r="N95" i="7" s="1"/>
  <c r="L134" i="7" s="1"/>
  <c r="M134" i="7" s="1"/>
  <c r="H230" i="7"/>
  <c r="I230" i="7" s="1"/>
  <c r="J230" i="7" s="1"/>
  <c r="N230" i="7" s="1"/>
  <c r="H224" i="7"/>
  <c r="I224" i="7" s="1"/>
  <c r="J224" i="7" s="1"/>
  <c r="N224" i="7" s="1"/>
  <c r="H172" i="7"/>
  <c r="I172" i="7" s="1"/>
  <c r="J172" i="7" s="1"/>
  <c r="H133" i="7"/>
  <c r="I133" i="7" s="1"/>
  <c r="J133" i="7" s="1"/>
  <c r="N133" i="7" s="1"/>
  <c r="L172" i="7" s="1"/>
  <c r="M172" i="7" s="1"/>
  <c r="H106" i="7"/>
  <c r="I106" i="7" s="1"/>
  <c r="J106" i="7" s="1"/>
  <c r="N106" i="7" s="1"/>
  <c r="L145" i="7" s="1"/>
  <c r="M145" i="7" s="1"/>
  <c r="H65" i="7"/>
  <c r="I65" i="7" s="1"/>
  <c r="J65" i="7" s="1"/>
  <c r="H52" i="7"/>
  <c r="I52" i="7" s="1"/>
  <c r="J52" i="7" s="1"/>
  <c r="H195" i="7"/>
  <c r="I195" i="7" s="1"/>
  <c r="J195" i="7" s="1"/>
  <c r="H164" i="7"/>
  <c r="I164" i="7" s="1"/>
  <c r="J164" i="7" s="1"/>
  <c r="N164" i="7" s="1"/>
  <c r="L203" i="7" s="1"/>
  <c r="M203" i="7" s="1"/>
  <c r="H252" i="7"/>
  <c r="I252" i="7" s="1"/>
  <c r="J252" i="7" s="1"/>
  <c r="N252" i="7" s="1"/>
  <c r="H143" i="7"/>
  <c r="I143" i="7" s="1"/>
  <c r="J143" i="7" s="1"/>
  <c r="N143" i="7" s="1"/>
  <c r="L182" i="7" s="1"/>
  <c r="M182" i="7" s="1"/>
  <c r="H249" i="7"/>
  <c r="I249" i="7" s="1"/>
  <c r="J249" i="7" s="1"/>
  <c r="N249" i="7" s="1"/>
  <c r="H171" i="7"/>
  <c r="I171" i="7" s="1"/>
  <c r="J171" i="7" s="1"/>
  <c r="N171" i="7" s="1"/>
  <c r="L210" i="7" s="1"/>
  <c r="M210" i="7" s="1"/>
  <c r="H124" i="7"/>
  <c r="I124" i="7" s="1"/>
  <c r="J124" i="7" s="1"/>
  <c r="N124" i="7" s="1"/>
  <c r="L163" i="7" s="1"/>
  <c r="M163" i="7" s="1"/>
  <c r="H49" i="7"/>
  <c r="I49" i="7" s="1"/>
  <c r="J49" i="7" s="1"/>
  <c r="H161" i="7"/>
  <c r="I161" i="7" s="1"/>
  <c r="J161" i="7" s="1"/>
  <c r="F67" i="10" s="1"/>
  <c r="H226" i="7"/>
  <c r="I226" i="7" s="1"/>
  <c r="J226" i="7" s="1"/>
  <c r="F107" i="10" s="1"/>
  <c r="H176" i="7"/>
  <c r="I176" i="7" s="1"/>
  <c r="J176" i="7" s="1"/>
  <c r="N176" i="7" s="1"/>
  <c r="L215" i="7" s="1"/>
  <c r="M215" i="7" s="1"/>
  <c r="H129" i="7"/>
  <c r="I129" i="7" s="1"/>
  <c r="J129" i="7" s="1"/>
  <c r="H251" i="7"/>
  <c r="I251" i="7" s="1"/>
  <c r="J251" i="7" s="1"/>
  <c r="H221" i="7"/>
  <c r="I221" i="7" s="1"/>
  <c r="J221" i="7" s="1"/>
  <c r="N221" i="7" s="1"/>
  <c r="H169" i="7"/>
  <c r="I169" i="7" s="1"/>
  <c r="J169" i="7" s="1"/>
  <c r="H130" i="7"/>
  <c r="I130" i="7" s="1"/>
  <c r="J130" i="7" s="1"/>
  <c r="N130" i="7" s="1"/>
  <c r="L169" i="7" s="1"/>
  <c r="M169" i="7" s="1"/>
  <c r="H109" i="7"/>
  <c r="I109" i="7" s="1"/>
  <c r="J109" i="7" s="1"/>
  <c r="N109" i="7" s="1"/>
  <c r="L148" i="7" s="1"/>
  <c r="M148" i="7" s="1"/>
  <c r="H228" i="7"/>
  <c r="I228" i="7" s="1"/>
  <c r="J228" i="7" s="1"/>
  <c r="N228" i="7" s="1"/>
  <c r="H204" i="7"/>
  <c r="I204" i="7" s="1"/>
  <c r="J204" i="7" s="1"/>
  <c r="H135" i="7"/>
  <c r="I135" i="7" s="1"/>
  <c r="J135" i="7" s="1"/>
  <c r="N135" i="7" s="1"/>
  <c r="L174" i="7" s="1"/>
  <c r="M174" i="7" s="1"/>
  <c r="H82" i="7"/>
  <c r="I82" i="7" s="1"/>
  <c r="J82" i="7" s="1"/>
  <c r="N82" i="7" s="1"/>
  <c r="L121" i="7" s="1"/>
  <c r="M121" i="7" s="1"/>
  <c r="H217" i="7"/>
  <c r="I217" i="7" s="1"/>
  <c r="J217" i="7" s="1"/>
  <c r="H134" i="7"/>
  <c r="I134" i="7" s="1"/>
  <c r="J134" i="7" s="1"/>
  <c r="H232" i="7"/>
  <c r="I232" i="7" s="1"/>
  <c r="J232" i="7" s="1"/>
  <c r="N232" i="7" s="1"/>
  <c r="H165" i="7"/>
  <c r="I165" i="7" s="1"/>
  <c r="J165" i="7" s="1"/>
  <c r="F69" i="10" s="1"/>
  <c r="H67" i="7"/>
  <c r="I67" i="7" s="1"/>
  <c r="J67" i="7" s="1"/>
  <c r="F22" i="10" s="1"/>
  <c r="H193" i="7"/>
  <c r="I193" i="7" s="1"/>
  <c r="J193" i="7" s="1"/>
  <c r="N193" i="7" s="1"/>
  <c r="L232" i="7" s="1"/>
  <c r="M232" i="7" s="1"/>
  <c r="H162" i="7"/>
  <c r="I162" i="7" s="1"/>
  <c r="J162" i="7" s="1"/>
  <c r="H72" i="7"/>
  <c r="H70" i="7"/>
  <c r="I70" i="7" s="1"/>
  <c r="J70" i="7" s="1"/>
  <c r="H127" i="7"/>
  <c r="I127" i="7" s="1"/>
  <c r="J127" i="7" s="1"/>
  <c r="H212" i="7"/>
  <c r="I212" i="7" s="1"/>
  <c r="J212" i="7" s="1"/>
  <c r="F98" i="10" s="1"/>
  <c r="H151" i="7"/>
  <c r="I151" i="7" s="1"/>
  <c r="J151" i="7" s="1"/>
  <c r="H85" i="7"/>
  <c r="I85" i="7" s="1"/>
  <c r="J85" i="7" s="1"/>
  <c r="F32" i="10" s="1"/>
  <c r="H50" i="7"/>
  <c r="I50" i="7" s="1"/>
  <c r="J50" i="7" s="1"/>
  <c r="N50" i="7" s="1"/>
  <c r="L89" i="7" s="1"/>
  <c r="M89" i="7" s="1"/>
  <c r="H241" i="7"/>
  <c r="I241" i="7" s="1"/>
  <c r="J241" i="7" s="1"/>
  <c r="H205" i="7"/>
  <c r="I205" i="7" s="1"/>
  <c r="J205" i="7" s="1"/>
  <c r="N205" i="7" s="1"/>
  <c r="L244" i="7" s="1"/>
  <c r="M244" i="7" s="1"/>
  <c r="H150" i="7"/>
  <c r="I150" i="7" s="1"/>
  <c r="J150" i="7" s="1"/>
  <c r="N150" i="7" s="1"/>
  <c r="L189" i="7" s="1"/>
  <c r="M189" i="7" s="1"/>
  <c r="H144" i="7"/>
  <c r="I144" i="7" s="1"/>
  <c r="J144" i="7" s="1"/>
  <c r="N144" i="7" s="1"/>
  <c r="L183" i="7" s="1"/>
  <c r="M183" i="7" s="1"/>
  <c r="H88" i="7"/>
  <c r="H61" i="7"/>
  <c r="I61" i="7" s="1"/>
  <c r="J61" i="7" s="1"/>
  <c r="H98" i="7"/>
  <c r="I98" i="7" s="1"/>
  <c r="J98" i="7" s="1"/>
  <c r="N98" i="7" s="1"/>
  <c r="L137" i="7" s="1"/>
  <c r="M137" i="7" s="1"/>
  <c r="H218" i="7"/>
  <c r="I218" i="7" s="1"/>
  <c r="J218" i="7" s="1"/>
  <c r="N218" i="7" s="1"/>
  <c r="H147" i="7"/>
  <c r="I147" i="7" s="1"/>
  <c r="J147" i="7" s="1"/>
  <c r="H79" i="7"/>
  <c r="I79" i="7" s="1"/>
  <c r="J79" i="7" s="1"/>
  <c r="H238" i="7"/>
  <c r="I238" i="7" s="1"/>
  <c r="J238" i="7" s="1"/>
  <c r="H198" i="7"/>
  <c r="I198" i="7" s="1"/>
  <c r="J198" i="7" s="1"/>
  <c r="H180" i="7"/>
  <c r="I180" i="7" s="1"/>
  <c r="J180" i="7" s="1"/>
  <c r="F76" i="10" s="1"/>
  <c r="H141" i="7"/>
  <c r="I141" i="7" s="1"/>
  <c r="J141" i="7" s="1"/>
  <c r="N141" i="7" s="1"/>
  <c r="L180" i="7" s="1"/>
  <c r="M180" i="7" s="1"/>
  <c r="H112" i="7"/>
  <c r="I112" i="7" s="1"/>
  <c r="J112" i="7" s="1"/>
  <c r="H73" i="7"/>
  <c r="I73" i="7" s="1"/>
  <c r="J73" i="7" s="1"/>
  <c r="N73" i="7" s="1"/>
  <c r="L112" i="7" s="1"/>
  <c r="M112" i="7" s="1"/>
  <c r="H47" i="7"/>
  <c r="I47" i="7" s="1"/>
  <c r="J47" i="7" s="1"/>
  <c r="N47" i="7" s="1"/>
  <c r="H182" i="7"/>
  <c r="I182" i="7" s="1"/>
  <c r="J182" i="7" s="1"/>
  <c r="H142" i="7"/>
  <c r="I142" i="7" s="1"/>
  <c r="J142" i="7" s="1"/>
  <c r="H240" i="7"/>
  <c r="I240" i="7" s="1"/>
  <c r="J240" i="7" s="1"/>
  <c r="N240" i="7" s="1"/>
  <c r="H58" i="7"/>
  <c r="I58" i="7" s="1"/>
  <c r="J58" i="7" s="1"/>
  <c r="N58" i="7" s="1"/>
  <c r="L97" i="7" s="1"/>
  <c r="M97" i="7" s="1"/>
  <c r="H237" i="7"/>
  <c r="I237" i="7" s="1"/>
  <c r="J237" i="7" s="1"/>
  <c r="F113" i="10" s="1"/>
  <c r="H154" i="7"/>
  <c r="I154" i="7" s="1"/>
  <c r="J154" i="7" s="1"/>
  <c r="H84" i="7"/>
  <c r="I84" i="7" s="1"/>
  <c r="J84" i="7" s="1"/>
  <c r="N84" i="7" s="1"/>
  <c r="L123" i="7" s="1"/>
  <c r="M123" i="7" s="1"/>
  <c r="H102" i="7"/>
  <c r="H115" i="7"/>
  <c r="H242" i="7"/>
  <c r="I242" i="7" s="1"/>
  <c r="J242" i="7" s="1"/>
  <c r="N242" i="7" s="1"/>
  <c r="H159" i="7"/>
  <c r="I159" i="7" s="1"/>
  <c r="J159" i="7" s="1"/>
  <c r="F65" i="10" s="1"/>
  <c r="H93" i="7"/>
  <c r="H231" i="7"/>
  <c r="I231" i="7" s="1"/>
  <c r="J231" i="7" s="1"/>
  <c r="F110" i="10" s="1"/>
  <c r="H199" i="7"/>
  <c r="I199" i="7" s="1"/>
  <c r="J199" i="7" s="1"/>
  <c r="N199" i="7" s="1"/>
  <c r="L238" i="7" s="1"/>
  <c r="M238" i="7" s="1"/>
  <c r="H177" i="7"/>
  <c r="I177" i="7" s="1"/>
  <c r="J177" i="7" s="1"/>
  <c r="N177" i="7" s="1"/>
  <c r="L216" i="7" s="1"/>
  <c r="M216" i="7" s="1"/>
  <c r="H138" i="7"/>
  <c r="I138" i="7" s="1"/>
  <c r="J138" i="7" s="1"/>
  <c r="H94" i="7"/>
  <c r="I94" i="7" s="1"/>
  <c r="J94" i="7" s="1"/>
  <c r="N94" i="7" s="1"/>
  <c r="L133" i="7" s="1"/>
  <c r="M133" i="7" s="1"/>
  <c r="H236" i="7"/>
  <c r="I236" i="7" s="1"/>
  <c r="J236" i="7" s="1"/>
  <c r="N236" i="7" s="1"/>
  <c r="H191" i="7"/>
  <c r="I191" i="7" s="1"/>
  <c r="J191" i="7" s="1"/>
  <c r="F84" i="10" s="1"/>
  <c r="H123" i="7"/>
  <c r="I123" i="7" s="1"/>
  <c r="J123" i="7" s="1"/>
  <c r="H75" i="7"/>
  <c r="I75" i="7" s="1"/>
  <c r="J75" i="7" s="1"/>
  <c r="N75" i="7" s="1"/>
  <c r="L114" i="7" s="1"/>
  <c r="M114" i="7" s="1"/>
  <c r="H203" i="7"/>
  <c r="I203" i="7" s="1"/>
  <c r="J203" i="7" s="1"/>
  <c r="F92" i="10" s="1"/>
  <c r="H118" i="7"/>
  <c r="I118" i="7" s="1"/>
  <c r="J118" i="7" s="1"/>
  <c r="N118" i="7" s="1"/>
  <c r="L157" i="7" s="1"/>
  <c r="M157" i="7" s="1"/>
  <c r="H214" i="7"/>
  <c r="I214" i="7" s="1"/>
  <c r="J214" i="7" s="1"/>
  <c r="N214" i="7" s="1"/>
  <c r="H105" i="7"/>
  <c r="H201" i="7"/>
  <c r="I201" i="7" s="1"/>
  <c r="J201" i="7" s="1"/>
  <c r="N201" i="7" s="1"/>
  <c r="L240" i="7" s="1"/>
  <c r="M240" i="7" s="1"/>
  <c r="H140" i="7"/>
  <c r="I140" i="7" s="1"/>
  <c r="J140" i="7" s="1"/>
  <c r="N140" i="7" s="1"/>
  <c r="L179" i="7" s="1"/>
  <c r="M179" i="7" s="1"/>
  <c r="H57" i="7"/>
  <c r="I57" i="7" s="1"/>
  <c r="J57" i="7" s="1"/>
  <c r="F16" i="10" s="1"/>
  <c r="H248" i="7"/>
  <c r="I248" i="7" s="1"/>
  <c r="J248" i="7" s="1"/>
  <c r="N248" i="7" s="1"/>
  <c r="H71" i="7"/>
  <c r="I71" i="7" s="1"/>
  <c r="J71" i="7" s="1"/>
  <c r="N71" i="7" s="1"/>
  <c r="L110" i="7" s="1"/>
  <c r="M110" i="7" s="1"/>
  <c r="H194" i="7"/>
  <c r="I194" i="7" s="1"/>
  <c r="J194" i="7" s="1"/>
  <c r="F86" i="10" s="1"/>
  <c r="H148" i="7"/>
  <c r="I148" i="7" s="1"/>
  <c r="J148" i="7" s="1"/>
  <c r="N148" i="7" s="1"/>
  <c r="L187" i="7" s="1"/>
  <c r="M187" i="7" s="1"/>
  <c r="H101" i="7"/>
  <c r="I72" i="7"/>
  <c r="J72" i="7" s="1"/>
  <c r="H245" i="7"/>
  <c r="I245" i="7" s="1"/>
  <c r="J245" i="7" s="1"/>
  <c r="F117" i="10" s="1"/>
  <c r="H215" i="7"/>
  <c r="I215" i="7" s="1"/>
  <c r="J215" i="7" s="1"/>
  <c r="F100" i="10" s="1"/>
  <c r="H188" i="7"/>
  <c r="I188" i="7" s="1"/>
  <c r="J188" i="7" s="1"/>
  <c r="H158" i="7"/>
  <c r="I158" i="7" s="1"/>
  <c r="J158" i="7" s="1"/>
  <c r="N158" i="7" s="1"/>
  <c r="L197" i="7" s="1"/>
  <c r="M197" i="7" s="1"/>
  <c r="H120" i="7"/>
  <c r="I120" i="7" s="1"/>
  <c r="J120" i="7" s="1"/>
  <c r="N120" i="7" s="1"/>
  <c r="L159" i="7" s="1"/>
  <c r="M159" i="7" s="1"/>
  <c r="H96" i="7"/>
  <c r="H53" i="7"/>
  <c r="I53" i="7" s="1"/>
  <c r="J53" i="7" s="1"/>
  <c r="N53" i="7" s="1"/>
  <c r="L92" i="7" s="1"/>
  <c r="M92" i="7" s="1"/>
  <c r="H66" i="7"/>
  <c r="I66" i="7" s="1"/>
  <c r="J66" i="7" s="1"/>
  <c r="N66" i="7" s="1"/>
  <c r="L105" i="7" s="1"/>
  <c r="M105" i="7" s="1"/>
  <c r="H187" i="7"/>
  <c r="I187" i="7" s="1"/>
  <c r="J187" i="7" s="1"/>
  <c r="N187" i="7" s="1"/>
  <c r="L226" i="7" s="1"/>
  <c r="M226" i="7" s="1"/>
  <c r="H119" i="7"/>
  <c r="H54" i="7"/>
  <c r="I54" i="7" s="1"/>
  <c r="J54" i="7" s="1"/>
  <c r="N54" i="7" s="1"/>
  <c r="L93" i="7" s="1"/>
  <c r="M93" i="7" s="1"/>
  <c r="H208" i="7"/>
  <c r="I208" i="7" s="1"/>
  <c r="J208" i="7" s="1"/>
  <c r="F95" i="10" s="1"/>
  <c r="H206" i="7"/>
  <c r="I206" i="7" s="1"/>
  <c r="J206" i="7" s="1"/>
  <c r="N206" i="7" s="1"/>
  <c r="L245" i="7" s="1"/>
  <c r="M245" i="7" s="1"/>
  <c r="H155" i="7"/>
  <c r="I155" i="7" s="1"/>
  <c r="J155" i="7" s="1"/>
  <c r="N155" i="7" s="1"/>
  <c r="L194" i="7" s="1"/>
  <c r="M194" i="7" s="1"/>
  <c r="H117" i="7"/>
  <c r="H89" i="7"/>
  <c r="I89" i="7" s="1"/>
  <c r="J89" i="7" s="1"/>
  <c r="F35" i="10" s="1"/>
  <c r="H81" i="7"/>
  <c r="I81" i="7" s="1"/>
  <c r="J81" i="7" s="1"/>
  <c r="F30" i="10" s="1"/>
  <c r="H247" i="7"/>
  <c r="I247" i="7" s="1"/>
  <c r="J247" i="7" s="1"/>
  <c r="H173" i="7"/>
  <c r="I173" i="7" s="1"/>
  <c r="J173" i="7" s="1"/>
  <c r="N173" i="7" s="1"/>
  <c r="L212" i="7" s="1"/>
  <c r="M212" i="7" s="1"/>
  <c r="H126" i="7"/>
  <c r="I126" i="7" s="1"/>
  <c r="J126" i="7" s="1"/>
  <c r="F51" i="10" s="1"/>
  <c r="H183" i="7"/>
  <c r="I183" i="7" s="1"/>
  <c r="J183" i="7" s="1"/>
  <c r="N183" i="7" s="1"/>
  <c r="L222" i="7" s="1"/>
  <c r="M222" i="7" s="1"/>
  <c r="H219" i="7"/>
  <c r="I219" i="7" s="1"/>
  <c r="J219" i="7" s="1"/>
  <c r="F103" i="10" s="1"/>
  <c r="H132" i="7"/>
  <c r="I132" i="7" s="1"/>
  <c r="J132" i="7" s="1"/>
  <c r="F55" i="10" s="1"/>
  <c r="H100" i="7"/>
  <c r="I100" i="7" s="1"/>
  <c r="J100" i="7" s="1"/>
  <c r="N100" i="7" s="1"/>
  <c r="L139" i="7" s="1"/>
  <c r="M139" i="7" s="1"/>
  <c r="H59" i="7"/>
  <c r="I59" i="7" s="1"/>
  <c r="J59" i="7" s="1"/>
  <c r="F17" i="10" s="1"/>
  <c r="H87" i="7"/>
  <c r="H220" i="7"/>
  <c r="I220" i="7" s="1"/>
  <c r="J220" i="7" s="1"/>
  <c r="H137" i="7"/>
  <c r="I137" i="7" s="1"/>
  <c r="J137" i="7" s="1"/>
  <c r="N137" i="7" s="1"/>
  <c r="L176" i="7" s="1"/>
  <c r="M176" i="7" s="1"/>
  <c r="H69" i="7"/>
  <c r="I69" i="7" s="1"/>
  <c r="J69" i="7" s="1"/>
  <c r="N69" i="7" s="1"/>
  <c r="L108" i="7" s="1"/>
  <c r="M108" i="7" s="1"/>
  <c r="H239" i="7"/>
  <c r="I239" i="7" s="1"/>
  <c r="J239" i="7" s="1"/>
  <c r="N239" i="7" s="1"/>
  <c r="H207" i="7"/>
  <c r="I207" i="7" s="1"/>
  <c r="J207" i="7" s="1"/>
  <c r="F94" i="10" s="1"/>
  <c r="H152" i="7"/>
  <c r="I152" i="7" s="1"/>
  <c r="J152" i="7" s="1"/>
  <c r="N152" i="7" s="1"/>
  <c r="L191" i="7" s="1"/>
  <c r="M191" i="7" s="1"/>
  <c r="H146" i="7"/>
  <c r="I146" i="7" s="1"/>
  <c r="J146" i="7" s="1"/>
  <c r="N146" i="7" s="1"/>
  <c r="L185" i="7" s="1"/>
  <c r="M185" i="7" s="1"/>
  <c r="H63" i="7"/>
  <c r="I63" i="7" s="1"/>
  <c r="J63" i="7" s="1"/>
  <c r="H210" i="7"/>
  <c r="I210" i="7" s="1"/>
  <c r="J210" i="7" s="1"/>
  <c r="N210" i="7" s="1"/>
  <c r="L249" i="7" s="1"/>
  <c r="M249" i="7" s="1"/>
  <c r="H170" i="7"/>
  <c r="I170" i="7" s="1"/>
  <c r="J170" i="7" s="1"/>
  <c r="N170" i="7" s="1"/>
  <c r="L209" i="7" s="1"/>
  <c r="M209" i="7" s="1"/>
  <c r="H103" i="7"/>
  <c r="I103" i="7" s="1"/>
  <c r="J103" i="7" s="1"/>
  <c r="N103" i="7" s="1"/>
  <c r="L142" i="7" s="1"/>
  <c r="M142" i="7" s="1"/>
  <c r="H48" i="7"/>
  <c r="I48" i="7" s="1"/>
  <c r="J48" i="7" s="1"/>
  <c r="H227" i="7"/>
  <c r="I227" i="7" s="1"/>
  <c r="J227" i="7" s="1"/>
  <c r="H190" i="7"/>
  <c r="I190" i="7" s="1"/>
  <c r="J190" i="7" s="1"/>
  <c r="F83" i="10" s="1"/>
  <c r="H86" i="7"/>
  <c r="I86" i="7" s="1"/>
  <c r="J86" i="7" s="1"/>
  <c r="H200" i="7"/>
  <c r="I200" i="7" s="1"/>
  <c r="J200" i="7" s="1"/>
  <c r="H83" i="7"/>
  <c r="I83" i="7" s="1"/>
  <c r="J83" i="7" s="1"/>
  <c r="H229" i="7"/>
  <c r="I229" i="7" s="1"/>
  <c r="J229" i="7" s="1"/>
  <c r="F109" i="10" s="1"/>
  <c r="H192" i="7"/>
  <c r="I192" i="7" s="1"/>
  <c r="J192" i="7" s="1"/>
  <c r="F85" i="10" s="1"/>
  <c r="H107" i="7"/>
  <c r="I107" i="7" s="1"/>
  <c r="J107" i="7" s="1"/>
  <c r="H104" i="7"/>
  <c r="I104" i="7" s="1"/>
  <c r="J104" i="7" s="1"/>
  <c r="F40" i="10" s="1"/>
  <c r="H174" i="7"/>
  <c r="I174" i="7" s="1"/>
  <c r="J174" i="7" s="1"/>
  <c r="N174" i="7" s="1"/>
  <c r="L213" i="7" s="1"/>
  <c r="M213" i="7" s="1"/>
  <c r="H246" i="7"/>
  <c r="I246" i="7" s="1"/>
  <c r="J246" i="7" s="1"/>
  <c r="F118" i="10" s="1"/>
  <c r="H185" i="7"/>
  <c r="I185" i="7" s="1"/>
  <c r="J185" i="7" s="1"/>
  <c r="F80" i="10" s="1"/>
  <c r="H145" i="7"/>
  <c r="I145" i="7" s="1"/>
  <c r="J145" i="7" s="1"/>
  <c r="N145" i="7" s="1"/>
  <c r="L184" i="7" s="1"/>
  <c r="M184" i="7" s="1"/>
  <c r="H77" i="7"/>
  <c r="I77" i="7" s="1"/>
  <c r="J77" i="7" s="1"/>
  <c r="F27" i="10" s="1"/>
  <c r="H225" i="7"/>
  <c r="I225" i="7" s="1"/>
  <c r="J225" i="7" s="1"/>
  <c r="N225" i="7" s="1"/>
  <c r="H223" i="7"/>
  <c r="I223" i="7" s="1"/>
  <c r="J223" i="7" s="1"/>
  <c r="H167" i="7"/>
  <c r="I167" i="7" s="1"/>
  <c r="J167" i="7" s="1"/>
  <c r="N167" i="7" s="1"/>
  <c r="L206" i="7" s="1"/>
  <c r="M206" i="7" s="1"/>
  <c r="H149" i="7"/>
  <c r="I149" i="7" s="1"/>
  <c r="J149" i="7" s="1"/>
  <c r="F60" i="10" s="1"/>
  <c r="H128" i="7"/>
  <c r="I128" i="7" s="1"/>
  <c r="J128" i="7" s="1"/>
  <c r="N128" i="7" s="1"/>
  <c r="L167" i="7" s="1"/>
  <c r="M167" i="7" s="1"/>
  <c r="H68" i="7"/>
  <c r="I68" i="7" s="1"/>
  <c r="J68" i="7" s="1"/>
  <c r="H114" i="7"/>
  <c r="H78" i="7"/>
  <c r="I78" i="7" s="1"/>
  <c r="J78" i="7" s="1"/>
  <c r="F28" i="10" s="1"/>
  <c r="H153" i="7"/>
  <c r="I153" i="7" s="1"/>
  <c r="J153" i="7" s="1"/>
  <c r="F62" i="10" s="1"/>
  <c r="H110" i="7"/>
  <c r="I110" i="7" s="1"/>
  <c r="J110" i="7" s="1"/>
  <c r="N110" i="7" s="1"/>
  <c r="L149" i="7" s="1"/>
  <c r="M149" i="7" s="1"/>
  <c r="H250" i="7"/>
  <c r="I250" i="7" s="1"/>
  <c r="J250" i="7" s="1"/>
  <c r="N250" i="7" s="1"/>
  <c r="H216" i="7"/>
  <c r="I216" i="7" s="1"/>
  <c r="J216" i="7" s="1"/>
  <c r="F101" i="10" s="1"/>
  <c r="H189" i="7"/>
  <c r="I189" i="7" s="1"/>
  <c r="J189" i="7" s="1"/>
  <c r="N189" i="7" s="1"/>
  <c r="L228" i="7" s="1"/>
  <c r="M228" i="7" s="1"/>
  <c r="H163" i="7"/>
  <c r="I163" i="7" s="1"/>
  <c r="J163" i="7" s="1"/>
  <c r="N163" i="7" s="1"/>
  <c r="L202" i="7" s="1"/>
  <c r="M202" i="7" s="1"/>
  <c r="H125" i="7"/>
  <c r="I125" i="7" s="1"/>
  <c r="J125" i="7" s="1"/>
  <c r="F50" i="10" s="1"/>
  <c r="H97" i="7"/>
  <c r="I97" i="7" s="1"/>
  <c r="J97" i="7" s="1"/>
  <c r="N97" i="7" s="1"/>
  <c r="L136" i="7" s="1"/>
  <c r="M136" i="7" s="1"/>
  <c r="H60" i="7"/>
  <c r="I60" i="7" s="1"/>
  <c r="J60" i="7" s="1"/>
  <c r="F18" i="10" s="1"/>
  <c r="H209" i="7"/>
  <c r="I209" i="7" s="1"/>
  <c r="J209" i="7" s="1"/>
  <c r="H156" i="7"/>
  <c r="I156" i="7" s="1"/>
  <c r="J156" i="7" s="1"/>
  <c r="N156" i="7" s="1"/>
  <c r="L195" i="7" s="1"/>
  <c r="M195" i="7" s="1"/>
  <c r="H74" i="7"/>
  <c r="I74" i="7" s="1"/>
  <c r="J74" i="7" s="1"/>
  <c r="F26" i="10" s="1"/>
  <c r="H178" i="7"/>
  <c r="I178" i="7" s="1"/>
  <c r="J178" i="7" s="1"/>
  <c r="F74" i="10" s="1"/>
  <c r="H184" i="7"/>
  <c r="I184" i="7" s="1"/>
  <c r="J184" i="7" s="1"/>
  <c r="F79" i="10" s="1"/>
  <c r="H116" i="7"/>
  <c r="I116" i="7" s="1"/>
  <c r="J116" i="7" s="1"/>
  <c r="N116" i="7" s="1"/>
  <c r="L155" i="7" s="1"/>
  <c r="M155" i="7" s="1"/>
  <c r="H80" i="7"/>
  <c r="I80" i="7" s="1"/>
  <c r="J80" i="7" s="1"/>
  <c r="N80" i="7" s="1"/>
  <c r="L119" i="7" s="1"/>
  <c r="M119" i="7" s="1"/>
  <c r="H196" i="7"/>
  <c r="I196" i="7" s="1"/>
  <c r="J196" i="7" s="1"/>
  <c r="N196" i="7" s="1"/>
  <c r="L235" i="7" s="1"/>
  <c r="M235" i="7" s="1"/>
  <c r="H62" i="7"/>
  <c r="I62" i="7" s="1"/>
  <c r="J62" i="7" s="1"/>
  <c r="N62" i="7" s="1"/>
  <c r="L101" i="7" s="1"/>
  <c r="M101" i="7" s="1"/>
  <c r="H202" i="7"/>
  <c r="I202" i="7" s="1"/>
  <c r="J202" i="7" s="1"/>
  <c r="F91" i="10" s="1"/>
  <c r="H121" i="7"/>
  <c r="I121" i="7" s="1"/>
  <c r="J121" i="7" s="1"/>
  <c r="F47" i="10" s="1"/>
  <c r="H64" i="7"/>
  <c r="I64" i="7" s="1"/>
  <c r="J64" i="7" s="1"/>
  <c r="N64" i="7" s="1"/>
  <c r="L103" i="7" s="1"/>
  <c r="M103" i="7" s="1"/>
  <c r="H243" i="7"/>
  <c r="I243" i="7" s="1"/>
  <c r="J243" i="7" s="1"/>
  <c r="H213" i="7"/>
  <c r="I213" i="7" s="1"/>
  <c r="J213" i="7" s="1"/>
  <c r="F99" i="10" s="1"/>
  <c r="H186" i="7"/>
  <c r="I186" i="7" s="1"/>
  <c r="J186" i="7" s="1"/>
  <c r="H160" i="7"/>
  <c r="I160" i="7" s="1"/>
  <c r="J160" i="7" s="1"/>
  <c r="F66" i="10" s="1"/>
  <c r="H122" i="7"/>
  <c r="I122" i="7" s="1"/>
  <c r="J122" i="7" s="1"/>
  <c r="F48" i="10" s="1"/>
  <c r="H244" i="7"/>
  <c r="I244" i="7" s="1"/>
  <c r="J244" i="7" s="1"/>
  <c r="N244" i="7" s="1"/>
  <c r="H222" i="7"/>
  <c r="I222" i="7" s="1"/>
  <c r="J222" i="7" s="1"/>
  <c r="F105" i="10" s="1"/>
  <c r="H157" i="7"/>
  <c r="I157" i="7" s="1"/>
  <c r="J157" i="7" s="1"/>
  <c r="F64" i="10" s="1"/>
  <c r="H91" i="7"/>
  <c r="I93" i="7"/>
  <c r="J93" i="7" s="1"/>
  <c r="N93" i="7" s="1"/>
  <c r="L132" i="7" s="1"/>
  <c r="M132" i="7" s="1"/>
  <c r="I101" i="7"/>
  <c r="J101" i="7" s="1"/>
  <c r="N101" i="7" s="1"/>
  <c r="L140" i="7" s="1"/>
  <c r="M140" i="7" s="1"/>
  <c r="I105" i="7"/>
  <c r="J105" i="7" s="1"/>
  <c r="N105" i="7" s="1"/>
  <c r="L144" i="7" s="1"/>
  <c r="M144" i="7" s="1"/>
  <c r="I117" i="7"/>
  <c r="J117" i="7" s="1"/>
  <c r="N117" i="7" s="1"/>
  <c r="L156" i="7" s="1"/>
  <c r="M156" i="7" s="1"/>
  <c r="I91" i="7"/>
  <c r="J91" i="7" s="1"/>
  <c r="N91" i="7" s="1"/>
  <c r="L130" i="7" s="1"/>
  <c r="M130" i="7" s="1"/>
  <c r="I115" i="7"/>
  <c r="J115" i="7" s="1"/>
  <c r="N115" i="7" s="1"/>
  <c r="L154" i="7" s="1"/>
  <c r="M154" i="7" s="1"/>
  <c r="I102" i="7"/>
  <c r="J102" i="7" s="1"/>
  <c r="N102" i="7" s="1"/>
  <c r="L141" i="7" s="1"/>
  <c r="M141" i="7" s="1"/>
  <c r="I114" i="7"/>
  <c r="J114" i="7" s="1"/>
  <c r="N114" i="7" s="1"/>
  <c r="L153" i="7" s="1"/>
  <c r="M153" i="7" s="1"/>
  <c r="I87" i="7"/>
  <c r="J87" i="7" s="1"/>
  <c r="I119" i="7"/>
  <c r="J119" i="7" s="1"/>
  <c r="I88" i="7"/>
  <c r="J88" i="7" s="1"/>
  <c r="F34" i="10" s="1"/>
  <c r="I96" i="7"/>
  <c r="J96" i="7" s="1"/>
  <c r="F37" i="10" s="1"/>
  <c r="I108" i="7"/>
  <c r="J108" i="7" s="1"/>
  <c r="AC50" i="4"/>
  <c r="AC44" i="4"/>
  <c r="AC46" i="4"/>
  <c r="AC37" i="4"/>
  <c r="AA53" i="4"/>
  <c r="AC53" i="4" s="1"/>
  <c r="AC52" i="4"/>
  <c r="AA34" i="4"/>
  <c r="AC34" i="4"/>
  <c r="AA32" i="4"/>
  <c r="AC32" i="4"/>
  <c r="AA30" i="4"/>
  <c r="AC30" i="4"/>
  <c r="AB18" i="4"/>
  <c r="AC18" i="4"/>
  <c r="AB52" i="4"/>
  <c r="AB48" i="4"/>
  <c r="AB39" i="4"/>
  <c r="AB34" i="4"/>
  <c r="AB29" i="4"/>
  <c r="AB25" i="4"/>
  <c r="AB21" i="4"/>
  <c r="AB17" i="4"/>
  <c r="AB51" i="4"/>
  <c r="AB37" i="4"/>
  <c r="AB32" i="4"/>
  <c r="AB28" i="4"/>
  <c r="AB24" i="4"/>
  <c r="AB20" i="4"/>
  <c r="AB16" i="4"/>
  <c r="AB50" i="4"/>
  <c r="AB45" i="4"/>
  <c r="AB31" i="4"/>
  <c r="AB27" i="4"/>
  <c r="AB23" i="4"/>
  <c r="AB19" i="4"/>
  <c r="AB44" i="4"/>
  <c r="AB40" i="4"/>
  <c r="AB35" i="4"/>
  <c r="AB30" i="4"/>
  <c r="AB26" i="4"/>
  <c r="AB22" i="4"/>
  <c r="AB49" i="4"/>
  <c r="AB46" i="4"/>
  <c r="AB43" i="4"/>
  <c r="AB42" i="4"/>
  <c r="AB41" i="4"/>
  <c r="AB36" i="4"/>
  <c r="F42" i="10" l="1"/>
  <c r="F46" i="10"/>
  <c r="T46" i="10" s="1"/>
  <c r="F96" i="10"/>
  <c r="F25" i="10"/>
  <c r="X25" i="10" s="1"/>
  <c r="Z25" i="10" s="1"/>
  <c r="F31" i="10"/>
  <c r="F108" i="10"/>
  <c r="U108" i="10" s="1"/>
  <c r="F104" i="10"/>
  <c r="U104" i="10" s="1"/>
  <c r="F120" i="10"/>
  <c r="U120" i="10" s="1"/>
  <c r="F81" i="10"/>
  <c r="F90" i="10"/>
  <c r="AV90" i="10" s="1"/>
  <c r="F49" i="10"/>
  <c r="AV49" i="10" s="1"/>
  <c r="F21" i="10"/>
  <c r="T21" i="10" s="1"/>
  <c r="F44" i="10"/>
  <c r="F24" i="10"/>
  <c r="X24" i="10" s="1"/>
  <c r="Z24" i="10" s="1"/>
  <c r="F29" i="10"/>
  <c r="X29" i="10" s="1"/>
  <c r="Z29" i="10" s="1"/>
  <c r="F19" i="10"/>
  <c r="U19" i="10" s="1"/>
  <c r="F23" i="10"/>
  <c r="F106" i="10"/>
  <c r="AV106" i="10" s="1"/>
  <c r="F20" i="10"/>
  <c r="X20" i="10" s="1"/>
  <c r="Z20" i="10" s="1"/>
  <c r="F12" i="10"/>
  <c r="T12" i="10" s="1"/>
  <c r="F13" i="10"/>
  <c r="T37" i="10"/>
  <c r="U37" i="10"/>
  <c r="X37" i="10"/>
  <c r="Z37" i="10" s="1"/>
  <c r="AV37" i="10"/>
  <c r="T34" i="10"/>
  <c r="U34" i="10"/>
  <c r="X34" i="10"/>
  <c r="Z34" i="10" s="1"/>
  <c r="AV34" i="10"/>
  <c r="T26" i="10"/>
  <c r="U26" i="10"/>
  <c r="X26" i="10"/>
  <c r="Z26" i="10" s="1"/>
  <c r="AV26" i="10"/>
  <c r="T18" i="10"/>
  <c r="U18" i="10"/>
  <c r="X18" i="10"/>
  <c r="Z18" i="10" s="1"/>
  <c r="AV18" i="10"/>
  <c r="T23" i="10"/>
  <c r="U23" i="10"/>
  <c r="X23" i="10"/>
  <c r="Z23" i="10" s="1"/>
  <c r="AV23" i="10"/>
  <c r="T27" i="10"/>
  <c r="U27" i="10"/>
  <c r="X27" i="10"/>
  <c r="Z27" i="10" s="1"/>
  <c r="AV27" i="10"/>
  <c r="T40" i="10"/>
  <c r="U40" i="10"/>
  <c r="X40" i="10"/>
  <c r="Z40" i="10" s="1"/>
  <c r="AV40" i="10"/>
  <c r="T31" i="10"/>
  <c r="U31" i="10"/>
  <c r="X31" i="10"/>
  <c r="Z31" i="10" s="1"/>
  <c r="AV31" i="10"/>
  <c r="U20" i="10"/>
  <c r="T17" i="10"/>
  <c r="U17" i="10"/>
  <c r="X17" i="10"/>
  <c r="Z17" i="10" s="1"/>
  <c r="AV17" i="10"/>
  <c r="T30" i="10"/>
  <c r="U30" i="10"/>
  <c r="X30" i="10"/>
  <c r="Z30" i="10" s="1"/>
  <c r="AV30" i="10"/>
  <c r="T35" i="10"/>
  <c r="U35" i="10"/>
  <c r="X35" i="10"/>
  <c r="Z35" i="10" s="1"/>
  <c r="AV35" i="10"/>
  <c r="U25" i="10"/>
  <c r="AV25" i="10"/>
  <c r="T16" i="10"/>
  <c r="U16" i="10"/>
  <c r="X16" i="10"/>
  <c r="Z16" i="10" s="1"/>
  <c r="AV16" i="10"/>
  <c r="T44" i="10"/>
  <c r="U44" i="10"/>
  <c r="X44" i="10"/>
  <c r="Z44" i="10" s="1"/>
  <c r="AV44" i="10"/>
  <c r="U29" i="10"/>
  <c r="T19" i="10"/>
  <c r="X19" i="10"/>
  <c r="Z19" i="10" s="1"/>
  <c r="T32" i="10"/>
  <c r="U32" i="10"/>
  <c r="X32" i="10"/>
  <c r="Z32" i="10" s="1"/>
  <c r="AV32" i="10"/>
  <c r="T24" i="10"/>
  <c r="T22" i="10"/>
  <c r="U22" i="10"/>
  <c r="X22" i="10"/>
  <c r="Z22" i="10" s="1"/>
  <c r="AV22" i="10"/>
  <c r="U12" i="10"/>
  <c r="AV12" i="10"/>
  <c r="T13" i="10"/>
  <c r="U13" i="10"/>
  <c r="X13" i="10"/>
  <c r="Z13" i="10" s="1"/>
  <c r="AV13" i="10"/>
  <c r="U21" i="10"/>
  <c r="AV21" i="10"/>
  <c r="T15" i="10"/>
  <c r="U15" i="10"/>
  <c r="X15" i="10"/>
  <c r="Z15" i="10" s="1"/>
  <c r="AV15" i="10"/>
  <c r="T14" i="10"/>
  <c r="U14" i="10"/>
  <c r="X14" i="10"/>
  <c r="Z14" i="10" s="1"/>
  <c r="AV14" i="10"/>
  <c r="T42" i="10"/>
  <c r="U42" i="10"/>
  <c r="X42" i="10"/>
  <c r="Z42" i="10" s="1"/>
  <c r="AV42" i="10"/>
  <c r="U46" i="10"/>
  <c r="AV46" i="10"/>
  <c r="N86" i="7"/>
  <c r="L125" i="7" s="1"/>
  <c r="M125" i="7" s="1"/>
  <c r="F33" i="10"/>
  <c r="T64" i="10"/>
  <c r="U64" i="10"/>
  <c r="X64" i="10"/>
  <c r="Z64" i="10" s="1"/>
  <c r="AV64" i="10"/>
  <c r="T105" i="10"/>
  <c r="U105" i="10"/>
  <c r="X105" i="10"/>
  <c r="Z105" i="10" s="1"/>
  <c r="AV105" i="10"/>
  <c r="T48" i="10"/>
  <c r="U48" i="10"/>
  <c r="X48" i="10"/>
  <c r="Z48" i="10" s="1"/>
  <c r="AV48" i="10"/>
  <c r="T66" i="10"/>
  <c r="U66" i="10"/>
  <c r="X66" i="10"/>
  <c r="Z66" i="10" s="1"/>
  <c r="AV66" i="10"/>
  <c r="T81" i="10"/>
  <c r="U81" i="10"/>
  <c r="X81" i="10"/>
  <c r="Z81" i="10" s="1"/>
  <c r="AV81" i="10"/>
  <c r="AL99" i="10"/>
  <c r="AM99" i="10" s="1"/>
  <c r="AH99" i="10"/>
  <c r="AV99" i="10"/>
  <c r="AG99" i="10"/>
  <c r="F116" i="10"/>
  <c r="T47" i="10"/>
  <c r="U47" i="10"/>
  <c r="X47" i="10"/>
  <c r="Z47" i="10" s="1"/>
  <c r="AV47" i="10"/>
  <c r="AG91" i="10"/>
  <c r="AH91" i="10"/>
  <c r="AL91" i="10"/>
  <c r="AM91" i="10" s="1"/>
  <c r="AV91" i="10"/>
  <c r="X79" i="10"/>
  <c r="Z79" i="10" s="1"/>
  <c r="AV79" i="10"/>
  <c r="T79" i="10"/>
  <c r="U79" i="10"/>
  <c r="T74" i="10"/>
  <c r="U74" i="10"/>
  <c r="X74" i="10"/>
  <c r="Z74" i="10" s="1"/>
  <c r="AV74" i="10"/>
  <c r="T96" i="10"/>
  <c r="U96" i="10"/>
  <c r="X96" i="10"/>
  <c r="Z96" i="10" s="1"/>
  <c r="AV96" i="10"/>
  <c r="T50" i="10"/>
  <c r="U50" i="10"/>
  <c r="X50" i="10"/>
  <c r="Z50" i="10" s="1"/>
  <c r="AV50" i="10"/>
  <c r="T101" i="10"/>
  <c r="U101" i="10"/>
  <c r="X101" i="10"/>
  <c r="Z101" i="10" s="1"/>
  <c r="AV101" i="10"/>
  <c r="T62" i="10"/>
  <c r="U62" i="10"/>
  <c r="X62" i="10"/>
  <c r="Z62" i="10" s="1"/>
  <c r="AV62" i="10"/>
  <c r="T28" i="10"/>
  <c r="U28" i="10"/>
  <c r="X28" i="10"/>
  <c r="Z28" i="10" s="1"/>
  <c r="AV28" i="10"/>
  <c r="T60" i="10"/>
  <c r="U60" i="10"/>
  <c r="X60" i="10"/>
  <c r="Z60" i="10" s="1"/>
  <c r="AV60" i="10"/>
  <c r="U106" i="10"/>
  <c r="X80" i="10"/>
  <c r="Z80" i="10" s="1"/>
  <c r="AV80" i="10"/>
  <c r="T80" i="10"/>
  <c r="U80" i="10"/>
  <c r="T118" i="10"/>
  <c r="U118" i="10"/>
  <c r="X118" i="10"/>
  <c r="Z118" i="10" s="1"/>
  <c r="AV118" i="10"/>
  <c r="T85" i="10"/>
  <c r="U85" i="10"/>
  <c r="X85" i="10"/>
  <c r="Z85" i="10" s="1"/>
  <c r="AV85" i="10"/>
  <c r="AG109" i="10"/>
  <c r="AH109" i="10"/>
  <c r="AL109" i="10"/>
  <c r="AM109" i="10" s="1"/>
  <c r="AV109" i="10"/>
  <c r="T90" i="10"/>
  <c r="T83" i="10"/>
  <c r="U83" i="10"/>
  <c r="X83" i="10"/>
  <c r="Z83" i="10" s="1"/>
  <c r="AV83" i="10"/>
  <c r="AV108" i="10"/>
  <c r="T94" i="10"/>
  <c r="U94" i="10"/>
  <c r="X94" i="10"/>
  <c r="Z94" i="10" s="1"/>
  <c r="AV94" i="10"/>
  <c r="T104" i="10"/>
  <c r="T55" i="10"/>
  <c r="U55" i="10"/>
  <c r="X55" i="10"/>
  <c r="Z55" i="10" s="1"/>
  <c r="AV55" i="10"/>
  <c r="T103" i="10"/>
  <c r="U103" i="10"/>
  <c r="X103" i="10"/>
  <c r="Z103" i="10" s="1"/>
  <c r="AV103" i="10"/>
  <c r="T51" i="10"/>
  <c r="U51" i="10"/>
  <c r="X51" i="10"/>
  <c r="Z51" i="10" s="1"/>
  <c r="AV51" i="10"/>
  <c r="F119" i="10"/>
  <c r="T95" i="10"/>
  <c r="U95" i="10"/>
  <c r="X95" i="10"/>
  <c r="Z95" i="10" s="1"/>
  <c r="AV95" i="10"/>
  <c r="F82" i="10"/>
  <c r="T100" i="10"/>
  <c r="U100" i="10"/>
  <c r="X100" i="10"/>
  <c r="Z100" i="10" s="1"/>
  <c r="AV100" i="10"/>
  <c r="T117" i="10"/>
  <c r="U117" i="10"/>
  <c r="X117" i="10"/>
  <c r="Z117" i="10" s="1"/>
  <c r="AV117" i="10"/>
  <c r="T86" i="10"/>
  <c r="U86" i="10"/>
  <c r="X86" i="10"/>
  <c r="Z86" i="10" s="1"/>
  <c r="AV86" i="10"/>
  <c r="T92" i="10"/>
  <c r="U92" i="10"/>
  <c r="X92" i="10"/>
  <c r="Z92" i="10" s="1"/>
  <c r="AV92" i="10"/>
  <c r="X49" i="10"/>
  <c r="Z49" i="10" s="1"/>
  <c r="T84" i="10"/>
  <c r="U84" i="10"/>
  <c r="X84" i="10"/>
  <c r="Z84" i="10" s="1"/>
  <c r="AV84" i="10"/>
  <c r="F57" i="10"/>
  <c r="AG110" i="10"/>
  <c r="AH110" i="10"/>
  <c r="AL110" i="10"/>
  <c r="AM110" i="10" s="1"/>
  <c r="AV110" i="10"/>
  <c r="T65" i="10"/>
  <c r="U65" i="10"/>
  <c r="X65" i="10"/>
  <c r="Z65" i="10" s="1"/>
  <c r="AV65" i="10"/>
  <c r="F63" i="10"/>
  <c r="T113" i="10"/>
  <c r="U113" i="10"/>
  <c r="X113" i="10"/>
  <c r="Z113" i="10" s="1"/>
  <c r="AV113" i="10"/>
  <c r="F58" i="10"/>
  <c r="F78" i="10"/>
  <c r="X76" i="10"/>
  <c r="Z76" i="10" s="1"/>
  <c r="AV76" i="10"/>
  <c r="T76" i="10"/>
  <c r="U76" i="10"/>
  <c r="F89" i="10"/>
  <c r="F114" i="10"/>
  <c r="F59" i="10"/>
  <c r="F115" i="10"/>
  <c r="F61" i="10"/>
  <c r="T98" i="10"/>
  <c r="U98" i="10"/>
  <c r="X98" i="10"/>
  <c r="Z98" i="10" s="1"/>
  <c r="AV98" i="10"/>
  <c r="F52" i="10"/>
  <c r="F68" i="10"/>
  <c r="T69" i="10"/>
  <c r="U69" i="10"/>
  <c r="X69" i="10"/>
  <c r="Z69" i="10" s="1"/>
  <c r="AV69" i="10"/>
  <c r="F56" i="10"/>
  <c r="F102" i="10"/>
  <c r="F93" i="10"/>
  <c r="F71" i="10"/>
  <c r="T120" i="10"/>
  <c r="X120" i="10"/>
  <c r="Z120" i="10" s="1"/>
  <c r="F53" i="10"/>
  <c r="T107" i="10"/>
  <c r="U107" i="10"/>
  <c r="X107" i="10"/>
  <c r="Z107" i="10" s="1"/>
  <c r="AV107" i="10"/>
  <c r="T67" i="10"/>
  <c r="U67" i="10"/>
  <c r="X67" i="10"/>
  <c r="Z67" i="10" s="1"/>
  <c r="AV67" i="10"/>
  <c r="F87" i="10"/>
  <c r="F72" i="10"/>
  <c r="AG54" i="10"/>
  <c r="AH54" i="10"/>
  <c r="AL54" i="10"/>
  <c r="AM54" i="10" s="1"/>
  <c r="AV54" i="10"/>
  <c r="F73" i="10"/>
  <c r="T88" i="10"/>
  <c r="U88" i="10"/>
  <c r="X88" i="10"/>
  <c r="Z88" i="10" s="1"/>
  <c r="AV88" i="10"/>
  <c r="T111" i="10"/>
  <c r="U111" i="10"/>
  <c r="X111" i="10"/>
  <c r="Z111" i="10" s="1"/>
  <c r="AV111" i="10"/>
  <c r="F112" i="10"/>
  <c r="T75" i="10"/>
  <c r="U75" i="10"/>
  <c r="X75" i="10"/>
  <c r="Z75" i="10" s="1"/>
  <c r="AV75" i="10"/>
  <c r="T97" i="10"/>
  <c r="U97" i="10"/>
  <c r="X97" i="10"/>
  <c r="Z97" i="10" s="1"/>
  <c r="AV97" i="10"/>
  <c r="F70" i="10"/>
  <c r="T77" i="10"/>
  <c r="U77" i="10"/>
  <c r="X77" i="10"/>
  <c r="Z77" i="10" s="1"/>
  <c r="AV77" i="10"/>
  <c r="F11" i="10"/>
  <c r="F36" i="10"/>
  <c r="F38" i="10"/>
  <c r="F39" i="10"/>
  <c r="F41" i="10"/>
  <c r="T43" i="10"/>
  <c r="U43" i="10"/>
  <c r="X43" i="10"/>
  <c r="Z43" i="10" s="1"/>
  <c r="AV43" i="10"/>
  <c r="F45" i="10"/>
  <c r="N104" i="7"/>
  <c r="L143" i="7" s="1"/>
  <c r="M143" i="7" s="1"/>
  <c r="N85" i="7"/>
  <c r="L124" i="7" s="1"/>
  <c r="M124" i="7" s="1"/>
  <c r="N67" i="7"/>
  <c r="L106" i="7" s="1"/>
  <c r="M106" i="7" s="1"/>
  <c r="N68" i="7"/>
  <c r="L107" i="7" s="1"/>
  <c r="M107" i="7" s="1"/>
  <c r="N79" i="7"/>
  <c r="L118" i="7" s="1"/>
  <c r="M118" i="7" s="1"/>
  <c r="N61" i="7"/>
  <c r="L100" i="7" s="1"/>
  <c r="M100" i="7" s="1"/>
  <c r="N121" i="7"/>
  <c r="L160" i="7" s="1"/>
  <c r="M160" i="7" s="1"/>
  <c r="N77" i="7"/>
  <c r="L116" i="7" s="1"/>
  <c r="M116" i="7" s="1"/>
  <c r="N81" i="7"/>
  <c r="L120" i="7" s="1"/>
  <c r="M120" i="7" s="1"/>
  <c r="N49" i="7"/>
  <c r="L88" i="7" s="1"/>
  <c r="M88" i="7" s="1"/>
  <c r="N52" i="7"/>
  <c r="L91" i="7" s="1"/>
  <c r="M91" i="7" s="1"/>
  <c r="N89" i="7"/>
  <c r="L128" i="7" s="1"/>
  <c r="M128" i="7" s="1"/>
  <c r="N112" i="7"/>
  <c r="L151" i="7" s="1"/>
  <c r="M151" i="7" s="1"/>
  <c r="N107" i="7"/>
  <c r="L146" i="7" s="1"/>
  <c r="M146" i="7" s="1"/>
  <c r="N48" i="7"/>
  <c r="L87" i="7" s="1"/>
  <c r="M87" i="7" s="1"/>
  <c r="N63" i="7"/>
  <c r="L102" i="7" s="1"/>
  <c r="M102" i="7" s="1"/>
  <c r="N60" i="7"/>
  <c r="L99" i="7" s="1"/>
  <c r="M99" i="7" s="1"/>
  <c r="N57" i="7"/>
  <c r="L96" i="7" s="1"/>
  <c r="M96" i="7" s="1"/>
  <c r="N108" i="7"/>
  <c r="L147" i="7" s="1"/>
  <c r="M147" i="7" s="1"/>
  <c r="N88" i="7"/>
  <c r="L127" i="7" s="1"/>
  <c r="M127" i="7" s="1"/>
  <c r="N157" i="7"/>
  <c r="L196" i="7" s="1"/>
  <c r="M196" i="7" s="1"/>
  <c r="N160" i="7"/>
  <c r="L199" i="7" s="1"/>
  <c r="M199" i="7" s="1"/>
  <c r="N83" i="7"/>
  <c r="L122" i="7" s="1"/>
  <c r="M122" i="7" s="1"/>
  <c r="N209" i="7"/>
  <c r="L248" i="7" s="1"/>
  <c r="M248" i="7" s="1"/>
  <c r="N227" i="7"/>
  <c r="N207" i="7"/>
  <c r="L246" i="7" s="1"/>
  <c r="M246" i="7" s="1"/>
  <c r="N194" i="7"/>
  <c r="L233" i="7" s="1"/>
  <c r="M233" i="7" s="1"/>
  <c r="N231" i="7"/>
  <c r="N154" i="7"/>
  <c r="L193" i="7" s="1"/>
  <c r="M193" i="7" s="1"/>
  <c r="N127" i="7"/>
  <c r="L166" i="7" s="1"/>
  <c r="M166" i="7" s="1"/>
  <c r="N134" i="7"/>
  <c r="L173" i="7" s="1"/>
  <c r="M173" i="7" s="1"/>
  <c r="N161" i="7"/>
  <c r="L200" i="7" s="1"/>
  <c r="M200" i="7" s="1"/>
  <c r="N197" i="7"/>
  <c r="L236" i="7" s="1"/>
  <c r="M236" i="7" s="1"/>
  <c r="N70" i="7"/>
  <c r="L109" i="7" s="1"/>
  <c r="M109" i="7" s="1"/>
  <c r="N119" i="7"/>
  <c r="L158" i="7" s="1"/>
  <c r="M158" i="7" s="1"/>
  <c r="N222" i="7"/>
  <c r="N153" i="7"/>
  <c r="L192" i="7" s="1"/>
  <c r="M192" i="7" s="1"/>
  <c r="N200" i="7"/>
  <c r="L239" i="7" s="1"/>
  <c r="M239" i="7" s="1"/>
  <c r="N132" i="7"/>
  <c r="L171" i="7" s="1"/>
  <c r="M171" i="7" s="1"/>
  <c r="N208" i="7"/>
  <c r="L247" i="7" s="1"/>
  <c r="M247" i="7" s="1"/>
  <c r="N72" i="7"/>
  <c r="N123" i="7"/>
  <c r="L162" i="7" s="1"/>
  <c r="M162" i="7" s="1"/>
  <c r="N138" i="7"/>
  <c r="L177" i="7" s="1"/>
  <c r="M177" i="7" s="1"/>
  <c r="N237" i="7"/>
  <c r="N182" i="7"/>
  <c r="L221" i="7" s="1"/>
  <c r="M221" i="7" s="1"/>
  <c r="N217" i="7"/>
  <c r="N204" i="7"/>
  <c r="L243" i="7" s="1"/>
  <c r="M243" i="7" s="1"/>
  <c r="N169" i="7"/>
  <c r="L208" i="7" s="1"/>
  <c r="M208" i="7" s="1"/>
  <c r="N129" i="7"/>
  <c r="L168" i="7" s="1"/>
  <c r="M168" i="7" s="1"/>
  <c r="N172" i="7"/>
  <c r="L211" i="7" s="1"/>
  <c r="M211" i="7" s="1"/>
  <c r="N131" i="7"/>
  <c r="L170" i="7" s="1"/>
  <c r="M170" i="7" s="1"/>
  <c r="N233" i="7"/>
  <c r="N166" i="7"/>
  <c r="L205" i="7" s="1"/>
  <c r="M205" i="7" s="1"/>
  <c r="N74" i="7"/>
  <c r="L113" i="7" s="1"/>
  <c r="M113" i="7" s="1"/>
  <c r="N78" i="7"/>
  <c r="L117" i="7" s="1"/>
  <c r="M117" i="7" s="1"/>
  <c r="N213" i="7"/>
  <c r="L252" i="7" s="1"/>
  <c r="M252" i="7" s="1"/>
  <c r="N202" i="7"/>
  <c r="L241" i="7" s="1"/>
  <c r="M241" i="7" s="1"/>
  <c r="N216" i="7"/>
  <c r="N149" i="7"/>
  <c r="L188" i="7" s="1"/>
  <c r="M188" i="7" s="1"/>
  <c r="N246" i="7"/>
  <c r="N192" i="7"/>
  <c r="L231" i="7" s="1"/>
  <c r="M231" i="7" s="1"/>
  <c r="N219" i="7"/>
  <c r="N188" i="7"/>
  <c r="L227" i="7" s="1"/>
  <c r="M227" i="7" s="1"/>
  <c r="N203" i="7"/>
  <c r="L242" i="7" s="1"/>
  <c r="M242" i="7" s="1"/>
  <c r="N191" i="7"/>
  <c r="L230" i="7" s="1"/>
  <c r="M230" i="7" s="1"/>
  <c r="N180" i="7"/>
  <c r="L219" i="7" s="1"/>
  <c r="M219" i="7" s="1"/>
  <c r="N147" i="7"/>
  <c r="L186" i="7" s="1"/>
  <c r="M186" i="7" s="1"/>
  <c r="N241" i="7"/>
  <c r="N151" i="7"/>
  <c r="L190" i="7" s="1"/>
  <c r="M190" i="7" s="1"/>
  <c r="N165" i="7"/>
  <c r="L204" i="7" s="1"/>
  <c r="M204" i="7" s="1"/>
  <c r="N234" i="7"/>
  <c r="N179" i="7"/>
  <c r="L218" i="7" s="1"/>
  <c r="M218" i="7" s="1"/>
  <c r="N223" i="7"/>
  <c r="N245" i="7"/>
  <c r="N142" i="7"/>
  <c r="L181" i="7" s="1"/>
  <c r="M181" i="7" s="1"/>
  <c r="N238" i="7"/>
  <c r="N56" i="7"/>
  <c r="L95" i="7" s="1"/>
  <c r="M95" i="7" s="1"/>
  <c r="N195" i="7"/>
  <c r="L234" i="7" s="1"/>
  <c r="M234" i="7" s="1"/>
  <c r="N59" i="7"/>
  <c r="L98" i="7" s="1"/>
  <c r="M98" i="7" s="1"/>
  <c r="N186" i="7"/>
  <c r="L225" i="7" s="1"/>
  <c r="M225" i="7" s="1"/>
  <c r="N178" i="7"/>
  <c r="L217" i="7" s="1"/>
  <c r="M217" i="7" s="1"/>
  <c r="N185" i="7"/>
  <c r="L224" i="7" s="1"/>
  <c r="M224" i="7" s="1"/>
  <c r="N220" i="7"/>
  <c r="N126" i="7"/>
  <c r="L165" i="7" s="1"/>
  <c r="M165" i="7" s="1"/>
  <c r="N96" i="7"/>
  <c r="L135" i="7" s="1"/>
  <c r="M135" i="7" s="1"/>
  <c r="N87" i="7"/>
  <c r="L126" i="7" s="1"/>
  <c r="M126" i="7" s="1"/>
  <c r="N122" i="7"/>
  <c r="L161" i="7" s="1"/>
  <c r="M161" i="7" s="1"/>
  <c r="N243" i="7"/>
  <c r="N184" i="7"/>
  <c r="L223" i="7" s="1"/>
  <c r="M223" i="7" s="1"/>
  <c r="N125" i="7"/>
  <c r="L164" i="7" s="1"/>
  <c r="M164" i="7" s="1"/>
  <c r="N229" i="7"/>
  <c r="N190" i="7"/>
  <c r="L229" i="7" s="1"/>
  <c r="M229" i="7" s="1"/>
  <c r="N55" i="7"/>
  <c r="L94" i="7" s="1"/>
  <c r="M94" i="7" s="1"/>
  <c r="N247" i="7"/>
  <c r="N215" i="7"/>
  <c r="N159" i="7"/>
  <c r="L198" i="7" s="1"/>
  <c r="M198" i="7" s="1"/>
  <c r="N198" i="7"/>
  <c r="L237" i="7" s="1"/>
  <c r="M237" i="7" s="1"/>
  <c r="N212" i="7"/>
  <c r="L251" i="7" s="1"/>
  <c r="M251" i="7" s="1"/>
  <c r="N162" i="7"/>
  <c r="L201" i="7" s="1"/>
  <c r="M201" i="7" s="1"/>
  <c r="N251" i="7"/>
  <c r="N226" i="7"/>
  <c r="N175" i="7"/>
  <c r="L214" i="7" s="1"/>
  <c r="M214" i="7" s="1"/>
  <c r="N211" i="7"/>
  <c r="L250" i="7" s="1"/>
  <c r="M250" i="7" s="1"/>
  <c r="N181" i="7"/>
  <c r="L220" i="7" s="1"/>
  <c r="M220" i="7" s="1"/>
  <c r="N65" i="7"/>
  <c r="L104" i="7" s="1"/>
  <c r="M104" i="7" s="1"/>
  <c r="AV120" i="10" l="1"/>
  <c r="T108" i="10"/>
  <c r="X46" i="10"/>
  <c r="Z46" i="10" s="1"/>
  <c r="X21" i="10"/>
  <c r="Z21" i="10" s="1"/>
  <c r="X12" i="10"/>
  <c r="Z12" i="10" s="1"/>
  <c r="AV19" i="10"/>
  <c r="T25" i="10"/>
  <c r="X90" i="10"/>
  <c r="Z90" i="10" s="1"/>
  <c r="T20" i="10"/>
  <c r="T49" i="10"/>
  <c r="X104" i="10"/>
  <c r="Z104" i="10" s="1"/>
  <c r="X108" i="10"/>
  <c r="Z108" i="10" s="1"/>
  <c r="U90" i="10"/>
  <c r="AV29" i="10"/>
  <c r="AV20" i="10"/>
  <c r="U49" i="10"/>
  <c r="AZ49" i="10" s="1"/>
  <c r="BB49" i="10" s="1"/>
  <c r="AV104" i="10"/>
  <c r="T29" i="10"/>
  <c r="X106" i="10"/>
  <c r="Z106" i="10" s="1"/>
  <c r="U24" i="10"/>
  <c r="V24" i="10" s="1"/>
  <c r="T106" i="10"/>
  <c r="AV24" i="10"/>
  <c r="T45" i="10"/>
  <c r="U45" i="10"/>
  <c r="X45" i="10"/>
  <c r="Z45" i="10" s="1"/>
  <c r="AV45" i="10"/>
  <c r="V43" i="10"/>
  <c r="W43" i="10"/>
  <c r="AZ43" i="10"/>
  <c r="BB43" i="10" s="1"/>
  <c r="BC43" i="10"/>
  <c r="T41" i="10"/>
  <c r="U41" i="10"/>
  <c r="X41" i="10"/>
  <c r="Z41" i="10" s="1"/>
  <c r="AV41" i="10"/>
  <c r="T39" i="10"/>
  <c r="U39" i="10"/>
  <c r="X39" i="10"/>
  <c r="Z39" i="10" s="1"/>
  <c r="AV39" i="10"/>
  <c r="T38" i="10"/>
  <c r="U38" i="10"/>
  <c r="X38" i="10"/>
  <c r="Z38" i="10" s="1"/>
  <c r="AV38" i="10"/>
  <c r="T36" i="10"/>
  <c r="U36" i="10"/>
  <c r="X36" i="10"/>
  <c r="Z36" i="10" s="1"/>
  <c r="AV36" i="10"/>
  <c r="T11" i="10"/>
  <c r="U11" i="10"/>
  <c r="X11" i="10"/>
  <c r="Z11" i="10" s="1"/>
  <c r="AV11" i="10"/>
  <c r="V77" i="10"/>
  <c r="W77" i="10"/>
  <c r="AZ77" i="10"/>
  <c r="BB77" i="10" s="1"/>
  <c r="BC77" i="10"/>
  <c r="T70" i="10"/>
  <c r="U70" i="10"/>
  <c r="X70" i="10"/>
  <c r="Z70" i="10" s="1"/>
  <c r="AV70" i="10"/>
  <c r="V97" i="10"/>
  <c r="W97" i="10"/>
  <c r="AZ97" i="10"/>
  <c r="BB97" i="10" s="1"/>
  <c r="BC97" i="10"/>
  <c r="V75" i="10"/>
  <c r="W75" i="10"/>
  <c r="AZ75" i="10"/>
  <c r="BB75" i="10" s="1"/>
  <c r="BC75" i="10"/>
  <c r="T112" i="10"/>
  <c r="U112" i="10"/>
  <c r="X112" i="10"/>
  <c r="Z112" i="10" s="1"/>
  <c r="AV112" i="10"/>
  <c r="V111" i="10"/>
  <c r="W111" i="10"/>
  <c r="AZ111" i="10"/>
  <c r="BB111" i="10" s="1"/>
  <c r="BC111" i="10"/>
  <c r="V88" i="10"/>
  <c r="W88" i="10"/>
  <c r="AZ88" i="10"/>
  <c r="BB88" i="10" s="1"/>
  <c r="BC88" i="10"/>
  <c r="T73" i="10"/>
  <c r="U73" i="10"/>
  <c r="X73" i="10"/>
  <c r="Z73" i="10" s="1"/>
  <c r="AV73" i="10"/>
  <c r="AI54" i="10"/>
  <c r="AJ54" i="10"/>
  <c r="AZ54" i="10"/>
  <c r="BB54" i="10" s="1"/>
  <c r="BC54" i="10"/>
  <c r="T72" i="10"/>
  <c r="U72" i="10"/>
  <c r="X72" i="10"/>
  <c r="Z72" i="10" s="1"/>
  <c r="AV72" i="10"/>
  <c r="T87" i="10"/>
  <c r="U87" i="10"/>
  <c r="X87" i="10"/>
  <c r="Z87" i="10" s="1"/>
  <c r="AV87" i="10"/>
  <c r="V67" i="10"/>
  <c r="W67" i="10"/>
  <c r="AZ67" i="10"/>
  <c r="BB67" i="10" s="1"/>
  <c r="BC67" i="10"/>
  <c r="V107" i="10"/>
  <c r="W107" i="10"/>
  <c r="AZ107" i="10"/>
  <c r="BB107" i="10" s="1"/>
  <c r="BC107" i="10"/>
  <c r="T53" i="10"/>
  <c r="U53" i="10"/>
  <c r="X53" i="10"/>
  <c r="Z53" i="10" s="1"/>
  <c r="AV53" i="10"/>
  <c r="V120" i="10"/>
  <c r="W120" i="10"/>
  <c r="AZ120" i="10"/>
  <c r="BB120" i="10" s="1"/>
  <c r="BC120" i="10"/>
  <c r="T71" i="10"/>
  <c r="U71" i="10"/>
  <c r="X71" i="10"/>
  <c r="Z71" i="10" s="1"/>
  <c r="AV71" i="10"/>
  <c r="T93" i="10"/>
  <c r="U93" i="10"/>
  <c r="X93" i="10"/>
  <c r="Z93" i="10" s="1"/>
  <c r="AV93" i="10"/>
  <c r="T102" i="10"/>
  <c r="U102" i="10"/>
  <c r="X102" i="10"/>
  <c r="Z102" i="10" s="1"/>
  <c r="AV102" i="10"/>
  <c r="AG56" i="10"/>
  <c r="AH56" i="10"/>
  <c r="AL56" i="10"/>
  <c r="AM56" i="10" s="1"/>
  <c r="AV56" i="10"/>
  <c r="V69" i="10"/>
  <c r="W69" i="10"/>
  <c r="AZ69" i="10"/>
  <c r="BB69" i="10" s="1"/>
  <c r="BC69" i="10"/>
  <c r="T68" i="10"/>
  <c r="U68" i="10"/>
  <c r="X68" i="10"/>
  <c r="Z68" i="10" s="1"/>
  <c r="AV68" i="10"/>
  <c r="T52" i="10"/>
  <c r="U52" i="10"/>
  <c r="X52" i="10"/>
  <c r="Z52" i="10" s="1"/>
  <c r="AV52" i="10"/>
  <c r="V98" i="10"/>
  <c r="W98" i="10"/>
  <c r="AZ98" i="10"/>
  <c r="BB98" i="10" s="1"/>
  <c r="BC98" i="10"/>
  <c r="T61" i="10"/>
  <c r="U61" i="10"/>
  <c r="X61" i="10"/>
  <c r="Z61" i="10" s="1"/>
  <c r="AV61" i="10"/>
  <c r="T115" i="10"/>
  <c r="U115" i="10"/>
  <c r="X115" i="10"/>
  <c r="Z115" i="10" s="1"/>
  <c r="AV115" i="10"/>
  <c r="T59" i="10"/>
  <c r="U59" i="10"/>
  <c r="X59" i="10"/>
  <c r="Z59" i="10" s="1"/>
  <c r="AV59" i="10"/>
  <c r="AG114" i="10"/>
  <c r="AH114" i="10"/>
  <c r="AL114" i="10"/>
  <c r="AM114" i="10" s="1"/>
  <c r="AV114" i="10"/>
  <c r="T89" i="10"/>
  <c r="U89" i="10"/>
  <c r="X89" i="10"/>
  <c r="Z89" i="10" s="1"/>
  <c r="AV89" i="10"/>
  <c r="V76" i="10"/>
  <c r="AZ76" i="10"/>
  <c r="W76" i="10"/>
  <c r="BC76" i="10"/>
  <c r="T78" i="10"/>
  <c r="U78" i="10"/>
  <c r="X78" i="10"/>
  <c r="Z78" i="10" s="1"/>
  <c r="AV78" i="10"/>
  <c r="T58" i="10"/>
  <c r="U58" i="10"/>
  <c r="X58" i="10"/>
  <c r="Z58" i="10" s="1"/>
  <c r="AV58" i="10"/>
  <c r="V113" i="10"/>
  <c r="W113" i="10"/>
  <c r="AZ113" i="10"/>
  <c r="BB113" i="10" s="1"/>
  <c r="BC113" i="10"/>
  <c r="T63" i="10"/>
  <c r="U63" i="10"/>
  <c r="X63" i="10"/>
  <c r="Z63" i="10" s="1"/>
  <c r="AV63" i="10"/>
  <c r="V65" i="10"/>
  <c r="W65" i="10"/>
  <c r="AZ65" i="10"/>
  <c r="BB65" i="10" s="1"/>
  <c r="BC65" i="10"/>
  <c r="AI110" i="10"/>
  <c r="AJ110" i="10"/>
  <c r="AZ110" i="10"/>
  <c r="BB110" i="10" s="1"/>
  <c r="BC110" i="10"/>
  <c r="T57" i="10"/>
  <c r="U57" i="10"/>
  <c r="X57" i="10"/>
  <c r="Z57" i="10" s="1"/>
  <c r="AV57" i="10"/>
  <c r="V84" i="10"/>
  <c r="W84" i="10"/>
  <c r="AZ84" i="10"/>
  <c r="BB84" i="10" s="1"/>
  <c r="BC84" i="10"/>
  <c r="BC49" i="10"/>
  <c r="V92" i="10"/>
  <c r="W92" i="10"/>
  <c r="AZ92" i="10"/>
  <c r="BB92" i="10" s="1"/>
  <c r="BC92" i="10"/>
  <c r="V86" i="10"/>
  <c r="W86" i="10"/>
  <c r="AZ86" i="10"/>
  <c r="BB86" i="10" s="1"/>
  <c r="BC86" i="10"/>
  <c r="V117" i="10"/>
  <c r="W117" i="10"/>
  <c r="AZ117" i="10"/>
  <c r="BB117" i="10" s="1"/>
  <c r="BC117" i="10"/>
  <c r="V100" i="10"/>
  <c r="W100" i="10"/>
  <c r="AZ100" i="10"/>
  <c r="BB100" i="10" s="1"/>
  <c r="BC100" i="10"/>
  <c r="T82" i="10"/>
  <c r="U82" i="10"/>
  <c r="X82" i="10"/>
  <c r="Z82" i="10" s="1"/>
  <c r="AV82" i="10"/>
  <c r="V95" i="10"/>
  <c r="W95" i="10"/>
  <c r="AZ95" i="10"/>
  <c r="BB95" i="10" s="1"/>
  <c r="BC95" i="10"/>
  <c r="T119" i="10"/>
  <c r="U119" i="10"/>
  <c r="X119" i="10"/>
  <c r="Z119" i="10" s="1"/>
  <c r="AV119" i="10"/>
  <c r="V51" i="10"/>
  <c r="W51" i="10"/>
  <c r="AZ51" i="10"/>
  <c r="BB51" i="10" s="1"/>
  <c r="BC51" i="10"/>
  <c r="V103" i="10"/>
  <c r="W103" i="10"/>
  <c r="AZ103" i="10"/>
  <c r="BB103" i="10" s="1"/>
  <c r="BC103" i="10"/>
  <c r="V55" i="10"/>
  <c r="W55" i="10"/>
  <c r="AZ55" i="10"/>
  <c r="BB55" i="10" s="1"/>
  <c r="BC55" i="10"/>
  <c r="V104" i="10"/>
  <c r="W104" i="10"/>
  <c r="AZ104" i="10"/>
  <c r="BB104" i="10" s="1"/>
  <c r="BC104" i="10"/>
  <c r="V94" i="10"/>
  <c r="W94" i="10"/>
  <c r="AZ94" i="10"/>
  <c r="BB94" i="10" s="1"/>
  <c r="BC94" i="10"/>
  <c r="V108" i="10"/>
  <c r="W108" i="10"/>
  <c r="AZ108" i="10"/>
  <c r="BB108" i="10" s="1"/>
  <c r="BC108" i="10"/>
  <c r="V83" i="10"/>
  <c r="W83" i="10"/>
  <c r="AZ83" i="10"/>
  <c r="BB83" i="10" s="1"/>
  <c r="BC83" i="10"/>
  <c r="V90" i="10"/>
  <c r="AZ90" i="10"/>
  <c r="BC90" i="10"/>
  <c r="W90" i="10"/>
  <c r="AI109" i="10"/>
  <c r="AJ109" i="10"/>
  <c r="AZ109" i="10"/>
  <c r="BB109" i="10" s="1"/>
  <c r="BC109" i="10"/>
  <c r="V85" i="10"/>
  <c r="W85" i="10"/>
  <c r="AZ85" i="10"/>
  <c r="BB85" i="10" s="1"/>
  <c r="BC85" i="10"/>
  <c r="V118" i="10"/>
  <c r="W118" i="10"/>
  <c r="AZ118" i="10"/>
  <c r="BB118" i="10" s="1"/>
  <c r="BC118" i="10"/>
  <c r="V80" i="10"/>
  <c r="W80" i="10"/>
  <c r="AZ80" i="10"/>
  <c r="BC80" i="10"/>
  <c r="V106" i="10"/>
  <c r="W106" i="10"/>
  <c r="AZ106" i="10"/>
  <c r="BB106" i="10" s="1"/>
  <c r="BC106" i="10"/>
  <c r="V60" i="10"/>
  <c r="W60" i="10"/>
  <c r="AZ60" i="10"/>
  <c r="BB60" i="10" s="1"/>
  <c r="BC60" i="10"/>
  <c r="BC28" i="10"/>
  <c r="V28" i="10"/>
  <c r="W28" i="10"/>
  <c r="AZ28" i="10"/>
  <c r="BB28" i="10" s="1"/>
  <c r="BD28" i="10" s="1"/>
  <c r="BF28" i="10" s="1"/>
  <c r="V62" i="10"/>
  <c r="W62" i="10"/>
  <c r="AZ62" i="10"/>
  <c r="BB62" i="10" s="1"/>
  <c r="BC62" i="10"/>
  <c r="V101" i="10"/>
  <c r="W101" i="10"/>
  <c r="AZ101" i="10"/>
  <c r="BB101" i="10" s="1"/>
  <c r="BC101" i="10"/>
  <c r="V50" i="10"/>
  <c r="W50" i="10"/>
  <c r="AZ50" i="10"/>
  <c r="BB50" i="10" s="1"/>
  <c r="BC50" i="10"/>
  <c r="V96" i="10"/>
  <c r="W96" i="10"/>
  <c r="AZ96" i="10"/>
  <c r="BB96" i="10" s="1"/>
  <c r="BC96" i="10"/>
  <c r="V74" i="10"/>
  <c r="W74" i="10"/>
  <c r="AZ74" i="10"/>
  <c r="BB74" i="10" s="1"/>
  <c r="BC74" i="10"/>
  <c r="V79" i="10"/>
  <c r="W79" i="10"/>
  <c r="AZ79" i="10"/>
  <c r="BC79" i="10"/>
  <c r="AI91" i="10"/>
  <c r="AJ91" i="10"/>
  <c r="AZ91" i="10"/>
  <c r="BB91" i="10" s="1"/>
  <c r="BC91" i="10"/>
  <c r="V47" i="10"/>
  <c r="W47" i="10"/>
  <c r="AZ47" i="10"/>
  <c r="BB47" i="10" s="1"/>
  <c r="BC47" i="10"/>
  <c r="T116" i="10"/>
  <c r="U116" i="10"/>
  <c r="X116" i="10"/>
  <c r="Z116" i="10" s="1"/>
  <c r="AV116" i="10"/>
  <c r="AZ99" i="10"/>
  <c r="BB99" i="10" s="1"/>
  <c r="AJ99" i="10"/>
  <c r="BC99" i="10"/>
  <c r="AI99" i="10"/>
  <c r="V81" i="10"/>
  <c r="W81" i="10"/>
  <c r="AZ81" i="10"/>
  <c r="BB81" i="10" s="1"/>
  <c r="BC81" i="10"/>
  <c r="V66" i="10"/>
  <c r="W66" i="10"/>
  <c r="AZ66" i="10"/>
  <c r="BB66" i="10" s="1"/>
  <c r="BC66" i="10"/>
  <c r="V48" i="10"/>
  <c r="W48" i="10"/>
  <c r="AZ48" i="10"/>
  <c r="BB48" i="10" s="1"/>
  <c r="BC48" i="10"/>
  <c r="V105" i="10"/>
  <c r="W105" i="10"/>
  <c r="AZ105" i="10"/>
  <c r="BB105" i="10" s="1"/>
  <c r="BC105" i="10"/>
  <c r="V64" i="10"/>
  <c r="W64" i="10"/>
  <c r="AZ64" i="10"/>
  <c r="BB64" i="10" s="1"/>
  <c r="BC64" i="10"/>
  <c r="T33" i="10"/>
  <c r="U33" i="10"/>
  <c r="X33" i="10"/>
  <c r="Z33" i="10" s="1"/>
  <c r="AV33" i="10"/>
  <c r="V46" i="10"/>
  <c r="W46" i="10"/>
  <c r="AZ46" i="10"/>
  <c r="BB46" i="10" s="1"/>
  <c r="BC46" i="10"/>
  <c r="V42" i="10"/>
  <c r="W42" i="10"/>
  <c r="AZ42" i="10"/>
  <c r="BB42" i="10" s="1"/>
  <c r="BC42" i="10"/>
  <c r="V14" i="10"/>
  <c r="W14" i="10"/>
  <c r="AZ14" i="10"/>
  <c r="BB14" i="10" s="1"/>
  <c r="BC14" i="10"/>
  <c r="V15" i="10"/>
  <c r="W15" i="10"/>
  <c r="AZ15" i="10"/>
  <c r="BB15" i="10" s="1"/>
  <c r="BC15" i="10"/>
  <c r="V21" i="10"/>
  <c r="W21" i="10"/>
  <c r="AZ21" i="10"/>
  <c r="BB21" i="10" s="1"/>
  <c r="BC21" i="10"/>
  <c r="V13" i="10"/>
  <c r="W13" i="10"/>
  <c r="AZ13" i="10"/>
  <c r="BB13" i="10" s="1"/>
  <c r="BC13" i="10"/>
  <c r="V12" i="10"/>
  <c r="W12" i="10"/>
  <c r="AZ12" i="10"/>
  <c r="BB12" i="10" s="1"/>
  <c r="BC12" i="10"/>
  <c r="V22" i="10"/>
  <c r="W22" i="10"/>
  <c r="AZ22" i="10"/>
  <c r="BB22" i="10" s="1"/>
  <c r="BC22" i="10"/>
  <c r="AZ24" i="10"/>
  <c r="BB24" i="10" s="1"/>
  <c r="V32" i="10"/>
  <c r="W32" i="10"/>
  <c r="AZ32" i="10"/>
  <c r="BB32" i="10" s="1"/>
  <c r="BC32" i="10"/>
  <c r="V19" i="10"/>
  <c r="W19" i="10"/>
  <c r="AZ19" i="10"/>
  <c r="BB19" i="10" s="1"/>
  <c r="BC19" i="10"/>
  <c r="V29" i="10"/>
  <c r="W29" i="10"/>
  <c r="AZ29" i="10"/>
  <c r="BB29" i="10" s="1"/>
  <c r="BC29" i="10"/>
  <c r="V44" i="10"/>
  <c r="W44" i="10"/>
  <c r="AZ44" i="10"/>
  <c r="BB44" i="10" s="1"/>
  <c r="BC44" i="10"/>
  <c r="V16" i="10"/>
  <c r="W16" i="10"/>
  <c r="AZ16" i="10"/>
  <c r="BB16" i="10" s="1"/>
  <c r="BC16" i="10"/>
  <c r="V25" i="10"/>
  <c r="W25" i="10"/>
  <c r="AZ25" i="10"/>
  <c r="BB25" i="10" s="1"/>
  <c r="BC25" i="10"/>
  <c r="V35" i="10"/>
  <c r="W35" i="10"/>
  <c r="AZ35" i="10"/>
  <c r="BB35" i="10" s="1"/>
  <c r="BC35" i="10"/>
  <c r="V30" i="10"/>
  <c r="W30" i="10"/>
  <c r="AZ30" i="10"/>
  <c r="BB30" i="10" s="1"/>
  <c r="BC30" i="10"/>
  <c r="V17" i="10"/>
  <c r="W17" i="10"/>
  <c r="AZ17" i="10"/>
  <c r="BB17" i="10" s="1"/>
  <c r="BC17" i="10"/>
  <c r="V20" i="10"/>
  <c r="W20" i="10"/>
  <c r="AZ20" i="10"/>
  <c r="BB20" i="10" s="1"/>
  <c r="BC20" i="10"/>
  <c r="V31" i="10"/>
  <c r="W31" i="10"/>
  <c r="AZ31" i="10"/>
  <c r="BB31" i="10" s="1"/>
  <c r="BC31" i="10"/>
  <c r="V40" i="10"/>
  <c r="W40" i="10"/>
  <c r="AZ40" i="10"/>
  <c r="BB40" i="10" s="1"/>
  <c r="BC40" i="10"/>
  <c r="V27" i="10"/>
  <c r="W27" i="10"/>
  <c r="AZ27" i="10"/>
  <c r="BB27" i="10" s="1"/>
  <c r="BC27" i="10"/>
  <c r="V23" i="10"/>
  <c r="W23" i="10"/>
  <c r="AZ23" i="10"/>
  <c r="BB23" i="10" s="1"/>
  <c r="BC23" i="10"/>
  <c r="V18" i="10"/>
  <c r="W18" i="10"/>
  <c r="AZ18" i="10"/>
  <c r="BB18" i="10" s="1"/>
  <c r="BC18" i="10"/>
  <c r="V26" i="10"/>
  <c r="W26" i="10"/>
  <c r="AZ26" i="10"/>
  <c r="BB26" i="10" s="1"/>
  <c r="BC26" i="10"/>
  <c r="V34" i="10"/>
  <c r="W34" i="10"/>
  <c r="AZ34" i="10"/>
  <c r="BB34" i="10" s="1"/>
  <c r="BC34" i="10"/>
  <c r="V37" i="10"/>
  <c r="W37" i="10"/>
  <c r="AZ37" i="10"/>
  <c r="BB37" i="10" s="1"/>
  <c r="BC37" i="10"/>
  <c r="BC24" i="10" l="1"/>
  <c r="W49" i="10"/>
  <c r="W24" i="10"/>
  <c r="V49" i="10"/>
  <c r="BD37" i="10"/>
  <c r="BF37" i="10" s="1"/>
  <c r="BZ37" i="10"/>
  <c r="BQ37" i="10"/>
  <c r="BD34" i="10"/>
  <c r="BF34" i="10" s="1"/>
  <c r="BZ34" i="10"/>
  <c r="BQ34" i="10"/>
  <c r="BD26" i="10"/>
  <c r="BF26" i="10" s="1"/>
  <c r="BZ26" i="10"/>
  <c r="BQ26" i="10"/>
  <c r="BD18" i="10"/>
  <c r="BF18" i="10" s="1"/>
  <c r="BZ18" i="10"/>
  <c r="BQ18" i="10"/>
  <c r="BD23" i="10"/>
  <c r="BF23" i="10" s="1"/>
  <c r="BZ23" i="10"/>
  <c r="BQ23" i="10"/>
  <c r="BD27" i="10"/>
  <c r="BF27" i="10" s="1"/>
  <c r="BZ27" i="10"/>
  <c r="BQ27" i="10"/>
  <c r="BD40" i="10"/>
  <c r="BF40" i="10" s="1"/>
  <c r="BZ40" i="10"/>
  <c r="BQ40" i="10"/>
  <c r="BD31" i="10"/>
  <c r="BF31" i="10" s="1"/>
  <c r="BZ31" i="10"/>
  <c r="BQ31" i="10"/>
  <c r="BD20" i="10"/>
  <c r="BF20" i="10" s="1"/>
  <c r="BZ20" i="10"/>
  <c r="BQ20" i="10"/>
  <c r="BD17" i="10"/>
  <c r="BF17" i="10" s="1"/>
  <c r="BZ17" i="10"/>
  <c r="BQ17" i="10"/>
  <c r="BD30" i="10"/>
  <c r="BF30" i="10" s="1"/>
  <c r="BZ30" i="10"/>
  <c r="BQ30" i="10"/>
  <c r="BD35" i="10"/>
  <c r="BF35" i="10" s="1"/>
  <c r="BZ35" i="10"/>
  <c r="BQ35" i="10"/>
  <c r="BD25" i="10"/>
  <c r="BF25" i="10" s="1"/>
  <c r="BZ25" i="10"/>
  <c r="BQ25" i="10"/>
  <c r="BD16" i="10"/>
  <c r="BF16" i="10" s="1"/>
  <c r="BZ16" i="10"/>
  <c r="BQ16" i="10"/>
  <c r="BD44" i="10"/>
  <c r="BF44" i="10" s="1"/>
  <c r="BZ44" i="10"/>
  <c r="BQ44" i="10"/>
  <c r="BD29" i="10"/>
  <c r="BF29" i="10" s="1"/>
  <c r="BZ29" i="10"/>
  <c r="BQ29" i="10"/>
  <c r="BD19" i="10"/>
  <c r="BF19" i="10" s="1"/>
  <c r="BZ19" i="10"/>
  <c r="BQ19" i="10"/>
  <c r="BD32" i="10"/>
  <c r="BF32" i="10" s="1"/>
  <c r="BZ32" i="10"/>
  <c r="BQ32" i="10"/>
  <c r="BD24" i="10"/>
  <c r="BF24" i="10" s="1"/>
  <c r="BZ24" i="10"/>
  <c r="BQ24" i="10"/>
  <c r="BD22" i="10"/>
  <c r="BF22" i="10" s="1"/>
  <c r="BZ22" i="10"/>
  <c r="BQ22" i="10"/>
  <c r="BD12" i="10"/>
  <c r="BF12" i="10" s="1"/>
  <c r="BZ12" i="10"/>
  <c r="BQ12" i="10"/>
  <c r="BD13" i="10"/>
  <c r="BF13" i="10" s="1"/>
  <c r="BZ13" i="10"/>
  <c r="BQ13" i="10"/>
  <c r="BD21" i="10"/>
  <c r="BF21" i="10" s="1"/>
  <c r="BZ21" i="10"/>
  <c r="BQ21" i="10"/>
  <c r="BD15" i="10"/>
  <c r="BF15" i="10" s="1"/>
  <c r="BZ15" i="10"/>
  <c r="BQ15" i="10"/>
  <c r="BD14" i="10"/>
  <c r="BF14" i="10" s="1"/>
  <c r="BZ14" i="10"/>
  <c r="BQ14" i="10"/>
  <c r="BD42" i="10"/>
  <c r="BF42" i="10" s="1"/>
  <c r="BZ42" i="10"/>
  <c r="BQ42" i="10"/>
  <c r="BD46" i="10"/>
  <c r="BF46" i="10" s="1"/>
  <c r="BZ46" i="10"/>
  <c r="BQ46" i="10"/>
  <c r="V33" i="10"/>
  <c r="W33" i="10"/>
  <c r="AZ33" i="10"/>
  <c r="BB33" i="10" s="1"/>
  <c r="BC33" i="10"/>
  <c r="BD64" i="10"/>
  <c r="BF64" i="10" s="1"/>
  <c r="BZ64" i="10"/>
  <c r="BQ64" i="10"/>
  <c r="BD105" i="10"/>
  <c r="BF105" i="10" s="1"/>
  <c r="BZ105" i="10"/>
  <c r="BQ105" i="10"/>
  <c r="BD48" i="10"/>
  <c r="BF48" i="10" s="1"/>
  <c r="BZ48" i="10"/>
  <c r="BQ48" i="10"/>
  <c r="BD66" i="10"/>
  <c r="BF66" i="10" s="1"/>
  <c r="BZ66" i="10"/>
  <c r="BQ66" i="10"/>
  <c r="BD81" i="10"/>
  <c r="BF81" i="10" s="1"/>
  <c r="BZ81" i="10"/>
  <c r="BQ81" i="10"/>
  <c r="BQ99" i="10"/>
  <c r="BZ99" i="10"/>
  <c r="BD99" i="10"/>
  <c r="BF99" i="10" s="1"/>
  <c r="BC116" i="10"/>
  <c r="V116" i="10"/>
  <c r="W116" i="10"/>
  <c r="AZ116" i="10"/>
  <c r="BB116" i="10" s="1"/>
  <c r="BD116" i="10" s="1"/>
  <c r="BF116" i="10" s="1"/>
  <c r="BD47" i="10"/>
  <c r="BF47" i="10" s="1"/>
  <c r="BZ47" i="10"/>
  <c r="BQ47" i="10"/>
  <c r="BD91" i="10"/>
  <c r="BF91" i="10" s="1"/>
  <c r="BZ91" i="10"/>
  <c r="BQ91" i="10"/>
  <c r="BB79" i="10"/>
  <c r="BD79" i="10"/>
  <c r="BF79" i="10" s="1"/>
  <c r="BQ79" i="10"/>
  <c r="BZ79" i="10"/>
  <c r="BD74" i="10"/>
  <c r="BF74" i="10" s="1"/>
  <c r="BZ74" i="10"/>
  <c r="BQ74" i="10"/>
  <c r="BD96" i="10"/>
  <c r="BF96" i="10" s="1"/>
  <c r="BZ96" i="10"/>
  <c r="BQ96" i="10"/>
  <c r="BD50" i="10"/>
  <c r="BF50" i="10" s="1"/>
  <c r="BZ50" i="10"/>
  <c r="BQ50" i="10"/>
  <c r="BD101" i="10"/>
  <c r="BF101" i="10" s="1"/>
  <c r="BZ101" i="10"/>
  <c r="BQ101" i="10"/>
  <c r="BD62" i="10"/>
  <c r="BF62" i="10" s="1"/>
  <c r="BZ62" i="10"/>
  <c r="BQ62" i="10"/>
  <c r="BP28" i="10"/>
  <c r="BI28" i="10"/>
  <c r="BQ28" i="10"/>
  <c r="BZ28" i="10"/>
  <c r="BG28" i="10"/>
  <c r="BH28" i="10" s="1"/>
  <c r="BD60" i="10"/>
  <c r="BF60" i="10" s="1"/>
  <c r="BZ60" i="10"/>
  <c r="BQ60" i="10"/>
  <c r="BD106" i="10"/>
  <c r="BF106" i="10" s="1"/>
  <c r="BZ106" i="10"/>
  <c r="BQ106" i="10"/>
  <c r="BB80" i="10"/>
  <c r="BD80" i="10"/>
  <c r="BF80" i="10" s="1"/>
  <c r="BQ80" i="10"/>
  <c r="BZ80" i="10"/>
  <c r="BD118" i="10"/>
  <c r="BF118" i="10" s="1"/>
  <c r="BZ118" i="10"/>
  <c r="BQ118" i="10"/>
  <c r="BD85" i="10"/>
  <c r="BF85" i="10" s="1"/>
  <c r="BZ85" i="10"/>
  <c r="BQ85" i="10"/>
  <c r="BD109" i="10"/>
  <c r="BF109" i="10" s="1"/>
  <c r="BZ109" i="10"/>
  <c r="BQ109" i="10"/>
  <c r="BB90" i="10"/>
  <c r="BD90" i="10" s="1"/>
  <c r="BF90" i="10" s="1"/>
  <c r="BZ90" i="10"/>
  <c r="BQ90" i="10"/>
  <c r="BD83" i="10"/>
  <c r="BF83" i="10" s="1"/>
  <c r="BZ83" i="10"/>
  <c r="BQ83" i="10"/>
  <c r="BD108" i="10"/>
  <c r="BF108" i="10" s="1"/>
  <c r="BZ108" i="10"/>
  <c r="BQ108" i="10"/>
  <c r="BD94" i="10"/>
  <c r="BF94" i="10" s="1"/>
  <c r="BZ94" i="10"/>
  <c r="BQ94" i="10"/>
  <c r="BD104" i="10"/>
  <c r="BF104" i="10" s="1"/>
  <c r="BZ104" i="10"/>
  <c r="BQ104" i="10"/>
  <c r="BD55" i="10"/>
  <c r="BF55" i="10" s="1"/>
  <c r="BZ55" i="10"/>
  <c r="BQ55" i="10"/>
  <c r="BD103" i="10"/>
  <c r="BF103" i="10" s="1"/>
  <c r="BZ103" i="10"/>
  <c r="BQ103" i="10"/>
  <c r="BD51" i="10"/>
  <c r="BF51" i="10" s="1"/>
  <c r="BZ51" i="10"/>
  <c r="BQ51" i="10"/>
  <c r="BC119" i="10"/>
  <c r="V119" i="10"/>
  <c r="W119" i="10"/>
  <c r="AZ119" i="10"/>
  <c r="BB119" i="10" s="1"/>
  <c r="BD95" i="10"/>
  <c r="BF95" i="10" s="1"/>
  <c r="BZ95" i="10"/>
  <c r="BQ95" i="10"/>
  <c r="V82" i="10"/>
  <c r="W82" i="10"/>
  <c r="AZ82" i="10"/>
  <c r="BB82" i="10" s="1"/>
  <c r="BC82" i="10"/>
  <c r="BD100" i="10"/>
  <c r="BF100" i="10" s="1"/>
  <c r="BZ100" i="10"/>
  <c r="BQ100" i="10"/>
  <c r="BD117" i="10"/>
  <c r="BF117" i="10" s="1"/>
  <c r="BZ117" i="10"/>
  <c r="BQ117" i="10"/>
  <c r="BD86" i="10"/>
  <c r="BF86" i="10" s="1"/>
  <c r="BZ86" i="10"/>
  <c r="BQ86" i="10"/>
  <c r="BD92" i="10"/>
  <c r="BF92" i="10" s="1"/>
  <c r="BZ92" i="10"/>
  <c r="BQ92" i="10"/>
  <c r="BD49" i="10"/>
  <c r="BF49" i="10" s="1"/>
  <c r="BZ49" i="10"/>
  <c r="BQ49" i="10"/>
  <c r="BD84" i="10"/>
  <c r="BF84" i="10" s="1"/>
  <c r="BZ84" i="10"/>
  <c r="BQ84" i="10"/>
  <c r="V57" i="10"/>
  <c r="W57" i="10"/>
  <c r="AZ57" i="10"/>
  <c r="BB57" i="10" s="1"/>
  <c r="BC57" i="10"/>
  <c r="BD110" i="10"/>
  <c r="BF110" i="10" s="1"/>
  <c r="BQ110" i="10"/>
  <c r="BZ110" i="10"/>
  <c r="BD65" i="10"/>
  <c r="BF65" i="10" s="1"/>
  <c r="BZ65" i="10"/>
  <c r="BQ65" i="10"/>
  <c r="V63" i="10"/>
  <c r="W63" i="10"/>
  <c r="AZ63" i="10"/>
  <c r="BB63" i="10" s="1"/>
  <c r="BC63" i="10"/>
  <c r="BD113" i="10"/>
  <c r="BF113" i="10" s="1"/>
  <c r="BZ113" i="10"/>
  <c r="BQ113" i="10"/>
  <c r="V58" i="10"/>
  <c r="W58" i="10"/>
  <c r="AZ58" i="10"/>
  <c r="BB58" i="10" s="1"/>
  <c r="BC58" i="10"/>
  <c r="V78" i="10"/>
  <c r="W78" i="10"/>
  <c r="AZ78" i="10"/>
  <c r="BB78" i="10" s="1"/>
  <c r="BC78" i="10"/>
  <c r="BB76" i="10"/>
  <c r="BD76" i="10" s="1"/>
  <c r="BF76" i="10" s="1"/>
  <c r="BZ76" i="10"/>
  <c r="BQ76" i="10"/>
  <c r="V89" i="10"/>
  <c r="W89" i="10"/>
  <c r="AZ89" i="10"/>
  <c r="BB89" i="10" s="1"/>
  <c r="BC89" i="10"/>
  <c r="AI114" i="10"/>
  <c r="AJ114" i="10"/>
  <c r="AZ114" i="10"/>
  <c r="BB114" i="10" s="1"/>
  <c r="BC114" i="10"/>
  <c r="V59" i="10"/>
  <c r="W59" i="10"/>
  <c r="AZ59" i="10"/>
  <c r="BB59" i="10" s="1"/>
  <c r="BC59" i="10"/>
  <c r="V115" i="10"/>
  <c r="W115" i="10"/>
  <c r="AZ115" i="10"/>
  <c r="BB115" i="10" s="1"/>
  <c r="BC115" i="10"/>
  <c r="V61" i="10"/>
  <c r="W61" i="10"/>
  <c r="AZ61" i="10"/>
  <c r="BB61" i="10" s="1"/>
  <c r="BC61" i="10"/>
  <c r="BD98" i="10"/>
  <c r="BF98" i="10" s="1"/>
  <c r="BZ98" i="10"/>
  <c r="BQ98" i="10"/>
  <c r="V52" i="10"/>
  <c r="W52" i="10"/>
  <c r="AZ52" i="10"/>
  <c r="BB52" i="10" s="1"/>
  <c r="BC52" i="10"/>
  <c r="V68" i="10"/>
  <c r="W68" i="10"/>
  <c r="AZ68" i="10"/>
  <c r="BB68" i="10" s="1"/>
  <c r="BC68" i="10"/>
  <c r="BD69" i="10"/>
  <c r="BF69" i="10" s="1"/>
  <c r="BZ69" i="10"/>
  <c r="BQ69" i="10"/>
  <c r="AI56" i="10"/>
  <c r="AJ56" i="10"/>
  <c r="AZ56" i="10"/>
  <c r="BB56" i="10" s="1"/>
  <c r="BC56" i="10"/>
  <c r="V102" i="10"/>
  <c r="W102" i="10"/>
  <c r="AZ102" i="10"/>
  <c r="BB102" i="10" s="1"/>
  <c r="BC102" i="10"/>
  <c r="V93" i="10"/>
  <c r="W93" i="10"/>
  <c r="AZ93" i="10"/>
  <c r="BB93" i="10" s="1"/>
  <c r="BC93" i="10"/>
  <c r="V71" i="10"/>
  <c r="W71" i="10"/>
  <c r="AZ71" i="10"/>
  <c r="BB71" i="10" s="1"/>
  <c r="BC71" i="10"/>
  <c r="BD120" i="10"/>
  <c r="BF120" i="10" s="1"/>
  <c r="BZ120" i="10"/>
  <c r="BQ120" i="10"/>
  <c r="V53" i="10"/>
  <c r="W53" i="10"/>
  <c r="AZ53" i="10"/>
  <c r="BB53" i="10" s="1"/>
  <c r="BC53" i="10"/>
  <c r="BD107" i="10"/>
  <c r="BF107" i="10" s="1"/>
  <c r="BZ107" i="10"/>
  <c r="BQ107" i="10"/>
  <c r="BD67" i="10"/>
  <c r="BF67" i="10" s="1"/>
  <c r="BZ67" i="10"/>
  <c r="BQ67" i="10"/>
  <c r="V87" i="10"/>
  <c r="W87" i="10"/>
  <c r="AZ87" i="10"/>
  <c r="BB87" i="10" s="1"/>
  <c r="BC87" i="10"/>
  <c r="V72" i="10"/>
  <c r="W72" i="10"/>
  <c r="AZ72" i="10"/>
  <c r="BB72" i="10" s="1"/>
  <c r="BC72" i="10"/>
  <c r="BD54" i="10"/>
  <c r="BF54" i="10" s="1"/>
  <c r="BZ54" i="10"/>
  <c r="BQ54" i="10"/>
  <c r="V73" i="10"/>
  <c r="W73" i="10"/>
  <c r="AZ73" i="10"/>
  <c r="BB73" i="10" s="1"/>
  <c r="BC73" i="10"/>
  <c r="BD88" i="10"/>
  <c r="BF88" i="10" s="1"/>
  <c r="BZ88" i="10"/>
  <c r="BQ88" i="10"/>
  <c r="BD111" i="10"/>
  <c r="BF111" i="10" s="1"/>
  <c r="BZ111" i="10"/>
  <c r="BQ111" i="10"/>
  <c r="V112" i="10"/>
  <c r="W112" i="10"/>
  <c r="AZ112" i="10"/>
  <c r="BB112" i="10" s="1"/>
  <c r="BC112" i="10"/>
  <c r="BD75" i="10"/>
  <c r="BF75" i="10" s="1"/>
  <c r="BQ75" i="10"/>
  <c r="BZ75" i="10"/>
  <c r="BD97" i="10"/>
  <c r="BF97" i="10" s="1"/>
  <c r="BZ97" i="10"/>
  <c r="BQ97" i="10"/>
  <c r="V70" i="10"/>
  <c r="W70" i="10"/>
  <c r="AZ70" i="10"/>
  <c r="BB70" i="10" s="1"/>
  <c r="BC70" i="10"/>
  <c r="BD77" i="10"/>
  <c r="BF77" i="10" s="1"/>
  <c r="BZ77" i="10"/>
  <c r="BQ77" i="10"/>
  <c r="V11" i="10"/>
  <c r="W11" i="10"/>
  <c r="AZ11" i="10"/>
  <c r="BB11" i="10" s="1"/>
  <c r="BC11" i="10"/>
  <c r="V36" i="10"/>
  <c r="W36" i="10"/>
  <c r="AZ36" i="10"/>
  <c r="BB36" i="10" s="1"/>
  <c r="BC36" i="10"/>
  <c r="V38" i="10"/>
  <c r="W38" i="10"/>
  <c r="AZ38" i="10"/>
  <c r="BB38" i="10" s="1"/>
  <c r="BC38" i="10"/>
  <c r="V39" i="10"/>
  <c r="W39" i="10"/>
  <c r="AZ39" i="10"/>
  <c r="BB39" i="10" s="1"/>
  <c r="BC39" i="10"/>
  <c r="V41" i="10"/>
  <c r="W41" i="10"/>
  <c r="AZ41" i="10"/>
  <c r="BB41" i="10" s="1"/>
  <c r="BC41" i="10"/>
  <c r="BD43" i="10"/>
  <c r="BF43" i="10" s="1"/>
  <c r="BZ43" i="10"/>
  <c r="BQ43" i="10"/>
  <c r="V45" i="10"/>
  <c r="W45" i="10"/>
  <c r="AZ45" i="10"/>
  <c r="BB45" i="10" s="1"/>
  <c r="BC45" i="10"/>
  <c r="BD119" i="10" l="1"/>
  <c r="BF119" i="10" s="1"/>
  <c r="BD45" i="10"/>
  <c r="BF45" i="10" s="1"/>
  <c r="BZ45" i="10"/>
  <c r="BQ45" i="10"/>
  <c r="BI43" i="10"/>
  <c r="BP43" i="10"/>
  <c r="BG43" i="10"/>
  <c r="BH43" i="10" s="1"/>
  <c r="BD41" i="10"/>
  <c r="BF41" i="10" s="1"/>
  <c r="BZ41" i="10"/>
  <c r="BQ41" i="10"/>
  <c r="BD39" i="10"/>
  <c r="BF39" i="10" s="1"/>
  <c r="BZ39" i="10"/>
  <c r="BQ39" i="10"/>
  <c r="BD38" i="10"/>
  <c r="BF38" i="10" s="1"/>
  <c r="BZ38" i="10"/>
  <c r="BQ38" i="10"/>
  <c r="BD36" i="10"/>
  <c r="BF36" i="10" s="1"/>
  <c r="BZ36" i="10"/>
  <c r="BQ36" i="10"/>
  <c r="BD11" i="10"/>
  <c r="BF11" i="10" s="1"/>
  <c r="BG11" i="10" s="1"/>
  <c r="BH11" i="10" s="1"/>
  <c r="BZ11" i="10"/>
  <c r="BQ11" i="10"/>
  <c r="BG77" i="10"/>
  <c r="BH77" i="10" s="1"/>
  <c r="BI77" i="10"/>
  <c r="BP77" i="10"/>
  <c r="BD70" i="10"/>
  <c r="BF70" i="10" s="1"/>
  <c r="BZ70" i="10"/>
  <c r="BQ70" i="10"/>
  <c r="BG97" i="10"/>
  <c r="BH97" i="10" s="1"/>
  <c r="BI97" i="10"/>
  <c r="BP97" i="10"/>
  <c r="BG75" i="10"/>
  <c r="BH75" i="10" s="1"/>
  <c r="BP75" i="10"/>
  <c r="BI75" i="10"/>
  <c r="BD112" i="10"/>
  <c r="BF112" i="10" s="1"/>
  <c r="BZ112" i="10"/>
  <c r="BQ112" i="10"/>
  <c r="BG111" i="10"/>
  <c r="BH111" i="10" s="1"/>
  <c r="BI111" i="10"/>
  <c r="BP111" i="10"/>
  <c r="BG88" i="10"/>
  <c r="BH88" i="10" s="1"/>
  <c r="BI88" i="10"/>
  <c r="BP88" i="10"/>
  <c r="BD73" i="10"/>
  <c r="BF73" i="10" s="1"/>
  <c r="BZ73" i="10"/>
  <c r="BQ73" i="10"/>
  <c r="BG54" i="10"/>
  <c r="BH54" i="10" s="1"/>
  <c r="BI54" i="10"/>
  <c r="BP54" i="10"/>
  <c r="BD72" i="10"/>
  <c r="BF72" i="10" s="1"/>
  <c r="BZ72" i="10"/>
  <c r="BQ72" i="10"/>
  <c r="BD87" i="10"/>
  <c r="BF87" i="10" s="1"/>
  <c r="BZ87" i="10"/>
  <c r="BQ87" i="10"/>
  <c r="BG67" i="10"/>
  <c r="BH67" i="10" s="1"/>
  <c r="BI67" i="10"/>
  <c r="BP67" i="10"/>
  <c r="BG107" i="10"/>
  <c r="BH107" i="10" s="1"/>
  <c r="BI107" i="10"/>
  <c r="BP107" i="10"/>
  <c r="BD53" i="10"/>
  <c r="BF53" i="10" s="1"/>
  <c r="BZ53" i="10"/>
  <c r="BQ53" i="10"/>
  <c r="BG120" i="10"/>
  <c r="BH120" i="10" s="1"/>
  <c r="BI120" i="10"/>
  <c r="BP120" i="10"/>
  <c r="BD71" i="10"/>
  <c r="BF71" i="10" s="1"/>
  <c r="BZ71" i="10"/>
  <c r="BQ71" i="10"/>
  <c r="BD93" i="10"/>
  <c r="BF93" i="10" s="1"/>
  <c r="BZ93" i="10"/>
  <c r="BQ93" i="10"/>
  <c r="BD102" i="10"/>
  <c r="BF102" i="10" s="1"/>
  <c r="BZ102" i="10"/>
  <c r="BQ102" i="10"/>
  <c r="BD56" i="10"/>
  <c r="BF56" i="10" s="1"/>
  <c r="BZ56" i="10"/>
  <c r="BQ56" i="10"/>
  <c r="BG69" i="10"/>
  <c r="BH69" i="10" s="1"/>
  <c r="BI69" i="10"/>
  <c r="BP69" i="10"/>
  <c r="BD68" i="10"/>
  <c r="BF68" i="10" s="1"/>
  <c r="BZ68" i="10"/>
  <c r="BQ68" i="10"/>
  <c r="BD52" i="10"/>
  <c r="BF52" i="10" s="1"/>
  <c r="BZ52" i="10"/>
  <c r="BQ52" i="10"/>
  <c r="BG98" i="10"/>
  <c r="BH98" i="10" s="1"/>
  <c r="BI98" i="10"/>
  <c r="BP98" i="10"/>
  <c r="BD61" i="10"/>
  <c r="BF61" i="10" s="1"/>
  <c r="BZ61" i="10"/>
  <c r="BQ61" i="10"/>
  <c r="BD115" i="10"/>
  <c r="BF115" i="10" s="1"/>
  <c r="BZ115" i="10"/>
  <c r="BQ115" i="10"/>
  <c r="BD59" i="10"/>
  <c r="BF59" i="10" s="1"/>
  <c r="BZ59" i="10"/>
  <c r="BQ59" i="10"/>
  <c r="BD114" i="10"/>
  <c r="BF114" i="10" s="1"/>
  <c r="BZ114" i="10"/>
  <c r="BQ114" i="10"/>
  <c r="BD89" i="10"/>
  <c r="BF89" i="10" s="1"/>
  <c r="BZ89" i="10"/>
  <c r="BQ89" i="10"/>
  <c r="BP76" i="10"/>
  <c r="BI76" i="10"/>
  <c r="BG76" i="10"/>
  <c r="BH76" i="10" s="1"/>
  <c r="BD78" i="10"/>
  <c r="BF78" i="10" s="1"/>
  <c r="BZ78" i="10"/>
  <c r="BQ78" i="10"/>
  <c r="BD58" i="10"/>
  <c r="BF58" i="10" s="1"/>
  <c r="BZ58" i="10"/>
  <c r="BQ58" i="10"/>
  <c r="BG113" i="10"/>
  <c r="BH113" i="10" s="1"/>
  <c r="BI113" i="10"/>
  <c r="BP113" i="10"/>
  <c r="BD63" i="10"/>
  <c r="BF63" i="10" s="1"/>
  <c r="BZ63" i="10"/>
  <c r="BQ63" i="10"/>
  <c r="BG65" i="10"/>
  <c r="BH65" i="10" s="1"/>
  <c r="BI65" i="10"/>
  <c r="BP65" i="10"/>
  <c r="BG110" i="10"/>
  <c r="BH110" i="10" s="1"/>
  <c r="BP110" i="10"/>
  <c r="BI110" i="10"/>
  <c r="BD57" i="10"/>
  <c r="BF57" i="10" s="1"/>
  <c r="BZ57" i="10"/>
  <c r="BQ57" i="10"/>
  <c r="BG84" i="10"/>
  <c r="BH84" i="10" s="1"/>
  <c r="BI84" i="10"/>
  <c r="BP84" i="10"/>
  <c r="BG49" i="10"/>
  <c r="BH49" i="10" s="1"/>
  <c r="BI49" i="10"/>
  <c r="BP49" i="10"/>
  <c r="BG92" i="10"/>
  <c r="BH92" i="10" s="1"/>
  <c r="BI92" i="10"/>
  <c r="BP92" i="10"/>
  <c r="BG86" i="10"/>
  <c r="BH86" i="10" s="1"/>
  <c r="BI86" i="10"/>
  <c r="BP86" i="10"/>
  <c r="BG117" i="10"/>
  <c r="BH117" i="10" s="1"/>
  <c r="BI117" i="10"/>
  <c r="BP117" i="10"/>
  <c r="BG100" i="10"/>
  <c r="BH100" i="10" s="1"/>
  <c r="BI100" i="10"/>
  <c r="BP100" i="10"/>
  <c r="BD82" i="10"/>
  <c r="BF82" i="10" s="1"/>
  <c r="BZ82" i="10"/>
  <c r="BQ82" i="10"/>
  <c r="BG95" i="10"/>
  <c r="BH95" i="10" s="1"/>
  <c r="BI95" i="10"/>
  <c r="BP95" i="10"/>
  <c r="BP119" i="10"/>
  <c r="BI119" i="10"/>
  <c r="BQ119" i="10"/>
  <c r="BZ119" i="10"/>
  <c r="BG119" i="10"/>
  <c r="BH119" i="10" s="1"/>
  <c r="BG51" i="10"/>
  <c r="BH51" i="10" s="1"/>
  <c r="BI51" i="10"/>
  <c r="BP51" i="10"/>
  <c r="BG103" i="10"/>
  <c r="BH103" i="10" s="1"/>
  <c r="BI103" i="10"/>
  <c r="BP103" i="10"/>
  <c r="BI55" i="10"/>
  <c r="BP55" i="10"/>
  <c r="BG55" i="10"/>
  <c r="BH55" i="10" s="1"/>
  <c r="BG104" i="10"/>
  <c r="BH104" i="10" s="1"/>
  <c r="BI104" i="10"/>
  <c r="BP104" i="10"/>
  <c r="BG94" i="10"/>
  <c r="BH94" i="10" s="1"/>
  <c r="BI94" i="10"/>
  <c r="BP94" i="10"/>
  <c r="BG108" i="10"/>
  <c r="BH108" i="10" s="1"/>
  <c r="BI108" i="10"/>
  <c r="BP108" i="10"/>
  <c r="BG83" i="10"/>
  <c r="BH83" i="10" s="1"/>
  <c r="BI83" i="10"/>
  <c r="BP83" i="10"/>
  <c r="BI90" i="10"/>
  <c r="BP90" i="10"/>
  <c r="BG90" i="10"/>
  <c r="BH90" i="10" s="1"/>
  <c r="BG109" i="10"/>
  <c r="BH109" i="10" s="1"/>
  <c r="BI109" i="10"/>
  <c r="BP109" i="10"/>
  <c r="BG85" i="10"/>
  <c r="BH85" i="10" s="1"/>
  <c r="BI85" i="10"/>
  <c r="BP85" i="10"/>
  <c r="BG118" i="10"/>
  <c r="BH118" i="10" s="1"/>
  <c r="BI118" i="10"/>
  <c r="BP118" i="10"/>
  <c r="BI80" i="10"/>
  <c r="BP80" i="10"/>
  <c r="BG80" i="10"/>
  <c r="BH80" i="10" s="1"/>
  <c r="BG106" i="10"/>
  <c r="BH106" i="10" s="1"/>
  <c r="BI106" i="10"/>
  <c r="BP106" i="10"/>
  <c r="BG60" i="10"/>
  <c r="BH60" i="10" s="1"/>
  <c r="BI60" i="10"/>
  <c r="BP60" i="10"/>
  <c r="CC28" i="10"/>
  <c r="CF28" i="10" s="1"/>
  <c r="BO28" i="10"/>
  <c r="BR28" i="10" s="1"/>
  <c r="BX28" i="10"/>
  <c r="CA28" i="10" s="1"/>
  <c r="BT28" i="10"/>
  <c r="BK28" i="10"/>
  <c r="BU28" i="10"/>
  <c r="BL28" i="10"/>
  <c r="BG62" i="10"/>
  <c r="BH62" i="10" s="1"/>
  <c r="BI62" i="10"/>
  <c r="BP62" i="10"/>
  <c r="BG101" i="10"/>
  <c r="BH101" i="10" s="1"/>
  <c r="BI101" i="10"/>
  <c r="BP101" i="10"/>
  <c r="BG50" i="10"/>
  <c r="BH50" i="10" s="1"/>
  <c r="BI50" i="10"/>
  <c r="BP50" i="10"/>
  <c r="BG96" i="10"/>
  <c r="BH96" i="10" s="1"/>
  <c r="BI96" i="10"/>
  <c r="BP96" i="10"/>
  <c r="BG74" i="10"/>
  <c r="BH74" i="10" s="1"/>
  <c r="BI74" i="10"/>
  <c r="BP74" i="10"/>
  <c r="BI79" i="10"/>
  <c r="BP79" i="10"/>
  <c r="BG79" i="10"/>
  <c r="BH79" i="10" s="1"/>
  <c r="BG91" i="10"/>
  <c r="BH91" i="10" s="1"/>
  <c r="BI91" i="10"/>
  <c r="BP91" i="10"/>
  <c r="BG47" i="10"/>
  <c r="BH47" i="10" s="1"/>
  <c r="BI47" i="10"/>
  <c r="BP47" i="10"/>
  <c r="BG116" i="10"/>
  <c r="BH116" i="10" s="1"/>
  <c r="BP116" i="10"/>
  <c r="BI116" i="10"/>
  <c r="BQ116" i="10"/>
  <c r="BZ116" i="10"/>
  <c r="BG99" i="10"/>
  <c r="BH99" i="10" s="1"/>
  <c r="BP99" i="10"/>
  <c r="BI99" i="10"/>
  <c r="BG81" i="10"/>
  <c r="BH81" i="10" s="1"/>
  <c r="BI81" i="10"/>
  <c r="BP81" i="10"/>
  <c r="BG66" i="10"/>
  <c r="BH66" i="10" s="1"/>
  <c r="BI66" i="10"/>
  <c r="BP66" i="10"/>
  <c r="BI48" i="10"/>
  <c r="BP48" i="10"/>
  <c r="BG48" i="10"/>
  <c r="BH48" i="10" s="1"/>
  <c r="BG105" i="10"/>
  <c r="BH105" i="10" s="1"/>
  <c r="BI105" i="10"/>
  <c r="BP105" i="10"/>
  <c r="BG64" i="10"/>
  <c r="BH64" i="10" s="1"/>
  <c r="BI64" i="10"/>
  <c r="BP64" i="10"/>
  <c r="BD33" i="10"/>
  <c r="BF33" i="10" s="1"/>
  <c r="BZ33" i="10"/>
  <c r="BQ33" i="10"/>
  <c r="BG46" i="10"/>
  <c r="BH46" i="10" s="1"/>
  <c r="BI46" i="10"/>
  <c r="BP46" i="10"/>
  <c r="BI42" i="10"/>
  <c r="BP42" i="10"/>
  <c r="BG42" i="10"/>
  <c r="BH42" i="10" s="1"/>
  <c r="BI14" i="10"/>
  <c r="BP14" i="10"/>
  <c r="BG14" i="10"/>
  <c r="BH14" i="10" s="1"/>
  <c r="BI15" i="10"/>
  <c r="BP15" i="10"/>
  <c r="BG15" i="10"/>
  <c r="BH15" i="10" s="1"/>
  <c r="BI21" i="10"/>
  <c r="BP21" i="10"/>
  <c r="BG21" i="10"/>
  <c r="BH21" i="10" s="1"/>
  <c r="BG13" i="10"/>
  <c r="BH13" i="10" s="1"/>
  <c r="BI13" i="10"/>
  <c r="BP13" i="10"/>
  <c r="BG12" i="10"/>
  <c r="BH12" i="10" s="1"/>
  <c r="BI12" i="10"/>
  <c r="BP12" i="10"/>
  <c r="BI22" i="10"/>
  <c r="BP22" i="10"/>
  <c r="BG22" i="10"/>
  <c r="BH22" i="10" s="1"/>
  <c r="BI24" i="10"/>
  <c r="BP24" i="10"/>
  <c r="BG24" i="10"/>
  <c r="BH24" i="10" s="1"/>
  <c r="BI32" i="10"/>
  <c r="BP32" i="10"/>
  <c r="BG32" i="10"/>
  <c r="BH32" i="10" s="1"/>
  <c r="BI19" i="10"/>
  <c r="BP19" i="10"/>
  <c r="BG19" i="10"/>
  <c r="BH19" i="10" s="1"/>
  <c r="BI29" i="10"/>
  <c r="BP29" i="10"/>
  <c r="BG29" i="10"/>
  <c r="BH29" i="10" s="1"/>
  <c r="BI44" i="10"/>
  <c r="BP44" i="10"/>
  <c r="BG44" i="10"/>
  <c r="BH44" i="10" s="1"/>
  <c r="BI16" i="10"/>
  <c r="BP16" i="10"/>
  <c r="BG16" i="10"/>
  <c r="BH16" i="10" s="1"/>
  <c r="BI25" i="10"/>
  <c r="BP25" i="10"/>
  <c r="BG25" i="10"/>
  <c r="BH25" i="10" s="1"/>
  <c r="BI35" i="10"/>
  <c r="BP35" i="10"/>
  <c r="BG35" i="10"/>
  <c r="BH35" i="10" s="1"/>
  <c r="BG30" i="10"/>
  <c r="BH30" i="10" s="1"/>
  <c r="BI30" i="10"/>
  <c r="BP30" i="10"/>
  <c r="BI17" i="10"/>
  <c r="BP17" i="10"/>
  <c r="BG17" i="10"/>
  <c r="BH17" i="10" s="1"/>
  <c r="BI20" i="10"/>
  <c r="BP20" i="10"/>
  <c r="BG20" i="10"/>
  <c r="BH20" i="10" s="1"/>
  <c r="BG31" i="10"/>
  <c r="BH31" i="10" s="1"/>
  <c r="BI31" i="10"/>
  <c r="BP31" i="10"/>
  <c r="BI40" i="10"/>
  <c r="BP40" i="10"/>
  <c r="BG40" i="10"/>
  <c r="BH40" i="10" s="1"/>
  <c r="BI27" i="10"/>
  <c r="BP27" i="10"/>
  <c r="BG27" i="10"/>
  <c r="BH27" i="10" s="1"/>
  <c r="BI23" i="10"/>
  <c r="BP23" i="10"/>
  <c r="BG23" i="10"/>
  <c r="BH23" i="10" s="1"/>
  <c r="BI18" i="10"/>
  <c r="BP18" i="10"/>
  <c r="BG18" i="10"/>
  <c r="BH18" i="10" s="1"/>
  <c r="BI26" i="10"/>
  <c r="BP26" i="10"/>
  <c r="BG26" i="10"/>
  <c r="BH26" i="10" s="1"/>
  <c r="BG34" i="10"/>
  <c r="BH34" i="10" s="1"/>
  <c r="BI34" i="10"/>
  <c r="BP34" i="10"/>
  <c r="BI37" i="10"/>
  <c r="BP37" i="10"/>
  <c r="BG37" i="10"/>
  <c r="BH37" i="10" s="1"/>
  <c r="BM28" i="10" l="1"/>
  <c r="BV28" i="10"/>
  <c r="CC37" i="10"/>
  <c r="CF37" i="10" s="1"/>
  <c r="BO37" i="10"/>
  <c r="BR37" i="10" s="1"/>
  <c r="BX37" i="10"/>
  <c r="CA37" i="10" s="1"/>
  <c r="BT37" i="10"/>
  <c r="BK37" i="10"/>
  <c r="BU37" i="10"/>
  <c r="BL37" i="10"/>
  <c r="BU34" i="10"/>
  <c r="BL34" i="10"/>
  <c r="CC34" i="10"/>
  <c r="CF34" i="10" s="1"/>
  <c r="BO34" i="10"/>
  <c r="BR34" i="10" s="1"/>
  <c r="BX34" i="10"/>
  <c r="CA34" i="10" s="1"/>
  <c r="BT34" i="10"/>
  <c r="BK34" i="10"/>
  <c r="CC26" i="10"/>
  <c r="CF26" i="10" s="1"/>
  <c r="BO26" i="10"/>
  <c r="BR26" i="10" s="1"/>
  <c r="BX26" i="10"/>
  <c r="CA26" i="10" s="1"/>
  <c r="BT26" i="10"/>
  <c r="BK26" i="10"/>
  <c r="BU26" i="10"/>
  <c r="BL26" i="10"/>
  <c r="CC18" i="10"/>
  <c r="CF18" i="10" s="1"/>
  <c r="BO18" i="10"/>
  <c r="BR18" i="10" s="1"/>
  <c r="BX18" i="10"/>
  <c r="CA18" i="10" s="1"/>
  <c r="BT18" i="10"/>
  <c r="BK18" i="10"/>
  <c r="BU18" i="10"/>
  <c r="BL18" i="10"/>
  <c r="CC23" i="10"/>
  <c r="CF23" i="10" s="1"/>
  <c r="BO23" i="10"/>
  <c r="BR23" i="10" s="1"/>
  <c r="BX23" i="10"/>
  <c r="CA23" i="10" s="1"/>
  <c r="BT23" i="10"/>
  <c r="BK23" i="10"/>
  <c r="BU23" i="10"/>
  <c r="BL23" i="10"/>
  <c r="CC27" i="10"/>
  <c r="CF27" i="10" s="1"/>
  <c r="BO27" i="10"/>
  <c r="BR27" i="10" s="1"/>
  <c r="BX27" i="10"/>
  <c r="CA27" i="10" s="1"/>
  <c r="BT27" i="10"/>
  <c r="BK27" i="10"/>
  <c r="BU27" i="10"/>
  <c r="BL27" i="10"/>
  <c r="CC40" i="10"/>
  <c r="CF40" i="10" s="1"/>
  <c r="BO40" i="10"/>
  <c r="BR40" i="10" s="1"/>
  <c r="BX40" i="10"/>
  <c r="CA40" i="10" s="1"/>
  <c r="BT40" i="10"/>
  <c r="BK40" i="10"/>
  <c r="BU40" i="10"/>
  <c r="BL40" i="10"/>
  <c r="BU31" i="10"/>
  <c r="BL31" i="10"/>
  <c r="CC31" i="10"/>
  <c r="CF31" i="10" s="1"/>
  <c r="BO31" i="10"/>
  <c r="BR31" i="10" s="1"/>
  <c r="BX31" i="10"/>
  <c r="CA31" i="10" s="1"/>
  <c r="BT31" i="10"/>
  <c r="BK31" i="10"/>
  <c r="CC20" i="10"/>
  <c r="CF20" i="10" s="1"/>
  <c r="BO20" i="10"/>
  <c r="BR20" i="10" s="1"/>
  <c r="BX20" i="10"/>
  <c r="CA20" i="10" s="1"/>
  <c r="BT20" i="10"/>
  <c r="BK20" i="10"/>
  <c r="BU20" i="10"/>
  <c r="BL20" i="10"/>
  <c r="CC17" i="10"/>
  <c r="CF17" i="10" s="1"/>
  <c r="BO17" i="10"/>
  <c r="BR17" i="10" s="1"/>
  <c r="BX17" i="10"/>
  <c r="CA17" i="10" s="1"/>
  <c r="BT17" i="10"/>
  <c r="BK17" i="10"/>
  <c r="BU17" i="10"/>
  <c r="BL17" i="10"/>
  <c r="BU30" i="10"/>
  <c r="BL30" i="10"/>
  <c r="CC30" i="10"/>
  <c r="CF30" i="10" s="1"/>
  <c r="BO30" i="10"/>
  <c r="BR30" i="10" s="1"/>
  <c r="BX30" i="10"/>
  <c r="CA30" i="10" s="1"/>
  <c r="BT30" i="10"/>
  <c r="BK30" i="10"/>
  <c r="CC35" i="10"/>
  <c r="CF35" i="10" s="1"/>
  <c r="BO35" i="10"/>
  <c r="BR35" i="10" s="1"/>
  <c r="BX35" i="10"/>
  <c r="CA35" i="10" s="1"/>
  <c r="BT35" i="10"/>
  <c r="BK35" i="10"/>
  <c r="BU35" i="10"/>
  <c r="BL35" i="10"/>
  <c r="CC25" i="10"/>
  <c r="CF25" i="10" s="1"/>
  <c r="BO25" i="10"/>
  <c r="BR25" i="10" s="1"/>
  <c r="BX25" i="10"/>
  <c r="CA25" i="10" s="1"/>
  <c r="BT25" i="10"/>
  <c r="BK25" i="10"/>
  <c r="BU25" i="10"/>
  <c r="BL25" i="10"/>
  <c r="CC16" i="10"/>
  <c r="CF16" i="10" s="1"/>
  <c r="BO16" i="10"/>
  <c r="BR16" i="10" s="1"/>
  <c r="BX16" i="10"/>
  <c r="CA16" i="10" s="1"/>
  <c r="BT16" i="10"/>
  <c r="BK16" i="10"/>
  <c r="BU16" i="10"/>
  <c r="BL16" i="10"/>
  <c r="CC44" i="10"/>
  <c r="CF44" i="10" s="1"/>
  <c r="BO44" i="10"/>
  <c r="BR44" i="10" s="1"/>
  <c r="BX44" i="10"/>
  <c r="CA44" i="10" s="1"/>
  <c r="BT44" i="10"/>
  <c r="BK44" i="10"/>
  <c r="BU44" i="10"/>
  <c r="BL44" i="10"/>
  <c r="CC29" i="10"/>
  <c r="CF29" i="10" s="1"/>
  <c r="BO29" i="10"/>
  <c r="BR29" i="10" s="1"/>
  <c r="BX29" i="10"/>
  <c r="CA29" i="10" s="1"/>
  <c r="BT29" i="10"/>
  <c r="BK29" i="10"/>
  <c r="BU29" i="10"/>
  <c r="BL29" i="10"/>
  <c r="CC19" i="10"/>
  <c r="CF19" i="10" s="1"/>
  <c r="BO19" i="10"/>
  <c r="BR19" i="10" s="1"/>
  <c r="BX19" i="10"/>
  <c r="CA19" i="10" s="1"/>
  <c r="BT19" i="10"/>
  <c r="BK19" i="10"/>
  <c r="BU19" i="10"/>
  <c r="BL19" i="10"/>
  <c r="CC32" i="10"/>
  <c r="CF32" i="10" s="1"/>
  <c r="BO32" i="10"/>
  <c r="BR32" i="10" s="1"/>
  <c r="BX32" i="10"/>
  <c r="CA32" i="10" s="1"/>
  <c r="BT32" i="10"/>
  <c r="BK32" i="10"/>
  <c r="BU32" i="10"/>
  <c r="BL32" i="10"/>
  <c r="CC24" i="10"/>
  <c r="CF24" i="10" s="1"/>
  <c r="BO24" i="10"/>
  <c r="BR24" i="10" s="1"/>
  <c r="BX24" i="10"/>
  <c r="CA24" i="10" s="1"/>
  <c r="BT24" i="10"/>
  <c r="BK24" i="10"/>
  <c r="BU24" i="10"/>
  <c r="BL24" i="10"/>
  <c r="CC22" i="10"/>
  <c r="CF22" i="10" s="1"/>
  <c r="BO22" i="10"/>
  <c r="BR22" i="10" s="1"/>
  <c r="BX22" i="10"/>
  <c r="CA22" i="10" s="1"/>
  <c r="BT22" i="10"/>
  <c r="BK22" i="10"/>
  <c r="BU22" i="10"/>
  <c r="BL22" i="10"/>
  <c r="BU12" i="10"/>
  <c r="BL12" i="10"/>
  <c r="CC12" i="10"/>
  <c r="CF12" i="10" s="1"/>
  <c r="BO12" i="10"/>
  <c r="BR12" i="10" s="1"/>
  <c r="BX12" i="10"/>
  <c r="CA12" i="10" s="1"/>
  <c r="BT12" i="10"/>
  <c r="BK12" i="10"/>
  <c r="BU13" i="10"/>
  <c r="BL13" i="10"/>
  <c r="CC13" i="10"/>
  <c r="CF13" i="10" s="1"/>
  <c r="BO13" i="10"/>
  <c r="BR13" i="10" s="1"/>
  <c r="BX13" i="10"/>
  <c r="CA13" i="10" s="1"/>
  <c r="BT13" i="10"/>
  <c r="BK13" i="10"/>
  <c r="CC21" i="10"/>
  <c r="CF21" i="10" s="1"/>
  <c r="BO21" i="10"/>
  <c r="BR21" i="10" s="1"/>
  <c r="BX21" i="10"/>
  <c r="CA21" i="10" s="1"/>
  <c r="BT21" i="10"/>
  <c r="BK21" i="10"/>
  <c r="BU21" i="10"/>
  <c r="BL21" i="10"/>
  <c r="CC15" i="10"/>
  <c r="CF15" i="10" s="1"/>
  <c r="BO15" i="10"/>
  <c r="BR15" i="10" s="1"/>
  <c r="BX15" i="10"/>
  <c r="CA15" i="10" s="1"/>
  <c r="BT15" i="10"/>
  <c r="BK15" i="10"/>
  <c r="BU15" i="10"/>
  <c r="BL15" i="10"/>
  <c r="CC14" i="10"/>
  <c r="CF14" i="10" s="1"/>
  <c r="BO14" i="10"/>
  <c r="BR14" i="10" s="1"/>
  <c r="BX14" i="10"/>
  <c r="CA14" i="10" s="1"/>
  <c r="BT14" i="10"/>
  <c r="BK14" i="10"/>
  <c r="BU14" i="10"/>
  <c r="BL14" i="10"/>
  <c r="CC42" i="10"/>
  <c r="CF42" i="10" s="1"/>
  <c r="BO42" i="10"/>
  <c r="BR42" i="10" s="1"/>
  <c r="BX42" i="10"/>
  <c r="CA42" i="10" s="1"/>
  <c r="BT42" i="10"/>
  <c r="BK42" i="10"/>
  <c r="BU42" i="10"/>
  <c r="BL42" i="10"/>
  <c r="BU46" i="10"/>
  <c r="BL46" i="10"/>
  <c r="CC46" i="10"/>
  <c r="CF46" i="10" s="1"/>
  <c r="BO46" i="10"/>
  <c r="BR46" i="10" s="1"/>
  <c r="BX46" i="10"/>
  <c r="CA46" i="10" s="1"/>
  <c r="BT46" i="10"/>
  <c r="BK46" i="10"/>
  <c r="BI33" i="10"/>
  <c r="BP33" i="10"/>
  <c r="BG33" i="10"/>
  <c r="BH33" i="10" s="1"/>
  <c r="BU64" i="10"/>
  <c r="BL64" i="10"/>
  <c r="CC64" i="10"/>
  <c r="CF64" i="10" s="1"/>
  <c r="BO64" i="10"/>
  <c r="BR64" i="10" s="1"/>
  <c r="BX64" i="10"/>
  <c r="CA64" i="10" s="1"/>
  <c r="BT64" i="10"/>
  <c r="BK64" i="10"/>
  <c r="BU105" i="10"/>
  <c r="BL105" i="10"/>
  <c r="CC105" i="10"/>
  <c r="CF105" i="10" s="1"/>
  <c r="BO105" i="10"/>
  <c r="BR105" i="10" s="1"/>
  <c r="BX105" i="10"/>
  <c r="CA105" i="10" s="1"/>
  <c r="BT105" i="10"/>
  <c r="BK105" i="10"/>
  <c r="CC48" i="10"/>
  <c r="CF48" i="10" s="1"/>
  <c r="BO48" i="10"/>
  <c r="BR48" i="10" s="1"/>
  <c r="BX48" i="10"/>
  <c r="CA48" i="10" s="1"/>
  <c r="BT48" i="10"/>
  <c r="BK48" i="10"/>
  <c r="BU48" i="10"/>
  <c r="BL48" i="10"/>
  <c r="BU66" i="10"/>
  <c r="BL66" i="10"/>
  <c r="CC66" i="10"/>
  <c r="CF66" i="10" s="1"/>
  <c r="BO66" i="10"/>
  <c r="BR66" i="10" s="1"/>
  <c r="BX66" i="10"/>
  <c r="CA66" i="10" s="1"/>
  <c r="BT66" i="10"/>
  <c r="BK66" i="10"/>
  <c r="BU81" i="10"/>
  <c r="BL81" i="10"/>
  <c r="CC81" i="10"/>
  <c r="CF81" i="10" s="1"/>
  <c r="BO81" i="10"/>
  <c r="BR81" i="10" s="1"/>
  <c r="BX81" i="10"/>
  <c r="CA81" i="10" s="1"/>
  <c r="BT81" i="10"/>
  <c r="BK81" i="10"/>
  <c r="BU99" i="10"/>
  <c r="BL99" i="10"/>
  <c r="CC99" i="10"/>
  <c r="CF99" i="10" s="1"/>
  <c r="BO99" i="10"/>
  <c r="BR99" i="10" s="1"/>
  <c r="BX99" i="10"/>
  <c r="CA99" i="10" s="1"/>
  <c r="BT99" i="10"/>
  <c r="BK99" i="10"/>
  <c r="BU116" i="10"/>
  <c r="BL116" i="10"/>
  <c r="CC116" i="10"/>
  <c r="CF116" i="10" s="1"/>
  <c r="BO116" i="10"/>
  <c r="BR116" i="10" s="1"/>
  <c r="BX116" i="10"/>
  <c r="CA116" i="10" s="1"/>
  <c r="BT116" i="10"/>
  <c r="BK116" i="10"/>
  <c r="BU47" i="10"/>
  <c r="BL47" i="10"/>
  <c r="CC47" i="10"/>
  <c r="CF47" i="10" s="1"/>
  <c r="BO47" i="10"/>
  <c r="BR47" i="10" s="1"/>
  <c r="BX47" i="10"/>
  <c r="CA47" i="10" s="1"/>
  <c r="BT47" i="10"/>
  <c r="BK47" i="10"/>
  <c r="BU91" i="10"/>
  <c r="BL91" i="10"/>
  <c r="CC91" i="10"/>
  <c r="CF91" i="10" s="1"/>
  <c r="BO91" i="10"/>
  <c r="BR91" i="10" s="1"/>
  <c r="BX91" i="10"/>
  <c r="CA91" i="10" s="1"/>
  <c r="BT91" i="10"/>
  <c r="BK91" i="10"/>
  <c r="BO79" i="10"/>
  <c r="BR79" i="10" s="1"/>
  <c r="BT79" i="10"/>
  <c r="CC79" i="10"/>
  <c r="CF79" i="10" s="1"/>
  <c r="BX79" i="10"/>
  <c r="CA79" i="10" s="1"/>
  <c r="BK79" i="10"/>
  <c r="BU79" i="10"/>
  <c r="BL79" i="10"/>
  <c r="BU74" i="10"/>
  <c r="BL74" i="10"/>
  <c r="CC74" i="10"/>
  <c r="CF74" i="10" s="1"/>
  <c r="BO74" i="10"/>
  <c r="BR74" i="10" s="1"/>
  <c r="BX74" i="10"/>
  <c r="CA74" i="10" s="1"/>
  <c r="BT74" i="10"/>
  <c r="BK74" i="10"/>
  <c r="BU96" i="10"/>
  <c r="BL96" i="10"/>
  <c r="CC96" i="10"/>
  <c r="CF96" i="10" s="1"/>
  <c r="BO96" i="10"/>
  <c r="BR96" i="10" s="1"/>
  <c r="BX96" i="10"/>
  <c r="CA96" i="10" s="1"/>
  <c r="BT96" i="10"/>
  <c r="BK96" i="10"/>
  <c r="BU50" i="10"/>
  <c r="BL50" i="10"/>
  <c r="CC50" i="10"/>
  <c r="CF50" i="10" s="1"/>
  <c r="BO50" i="10"/>
  <c r="BR50" i="10" s="1"/>
  <c r="BX50" i="10"/>
  <c r="CA50" i="10" s="1"/>
  <c r="BT50" i="10"/>
  <c r="BK50" i="10"/>
  <c r="BU101" i="10"/>
  <c r="BL101" i="10"/>
  <c r="CC101" i="10"/>
  <c r="CF101" i="10" s="1"/>
  <c r="BO101" i="10"/>
  <c r="BR101" i="10" s="1"/>
  <c r="BX101" i="10"/>
  <c r="CA101" i="10" s="1"/>
  <c r="BT101" i="10"/>
  <c r="BK101" i="10"/>
  <c r="BU62" i="10"/>
  <c r="BL62" i="10"/>
  <c r="CC62" i="10"/>
  <c r="CF62" i="10" s="1"/>
  <c r="BO62" i="10"/>
  <c r="BR62" i="10" s="1"/>
  <c r="BX62" i="10"/>
  <c r="CA62" i="10" s="1"/>
  <c r="BT62" i="10"/>
  <c r="BK62" i="10"/>
  <c r="BU60" i="10"/>
  <c r="BL60" i="10"/>
  <c r="CC60" i="10"/>
  <c r="CF60" i="10" s="1"/>
  <c r="BO60" i="10"/>
  <c r="BR60" i="10" s="1"/>
  <c r="BX60" i="10"/>
  <c r="CA60" i="10" s="1"/>
  <c r="BT60" i="10"/>
  <c r="BK60" i="10"/>
  <c r="BU106" i="10"/>
  <c r="BL106" i="10"/>
  <c r="CC106" i="10"/>
  <c r="CF106" i="10" s="1"/>
  <c r="BO106" i="10"/>
  <c r="BR106" i="10" s="1"/>
  <c r="BX106" i="10"/>
  <c r="CA106" i="10" s="1"/>
  <c r="BT106" i="10"/>
  <c r="BK106" i="10"/>
  <c r="BO80" i="10"/>
  <c r="BR80" i="10" s="1"/>
  <c r="BT80" i="10"/>
  <c r="CC80" i="10"/>
  <c r="CF80" i="10" s="1"/>
  <c r="BX80" i="10"/>
  <c r="CA80" i="10" s="1"/>
  <c r="BK80" i="10"/>
  <c r="BL80" i="10"/>
  <c r="BU80" i="10"/>
  <c r="BU118" i="10"/>
  <c r="BL118" i="10"/>
  <c r="CC118" i="10"/>
  <c r="CF118" i="10" s="1"/>
  <c r="BO118" i="10"/>
  <c r="BR118" i="10" s="1"/>
  <c r="BX118" i="10"/>
  <c r="CA118" i="10" s="1"/>
  <c r="BT118" i="10"/>
  <c r="BK118" i="10"/>
  <c r="BU85" i="10"/>
  <c r="BL85" i="10"/>
  <c r="CC85" i="10"/>
  <c r="CF85" i="10" s="1"/>
  <c r="BO85" i="10"/>
  <c r="BR85" i="10" s="1"/>
  <c r="BX85" i="10"/>
  <c r="CA85" i="10" s="1"/>
  <c r="BT85" i="10"/>
  <c r="BK85" i="10"/>
  <c r="BU109" i="10"/>
  <c r="BL109" i="10"/>
  <c r="CC109" i="10"/>
  <c r="CF109" i="10" s="1"/>
  <c r="BO109" i="10"/>
  <c r="BR109" i="10" s="1"/>
  <c r="BX109" i="10"/>
  <c r="CA109" i="10" s="1"/>
  <c r="BT109" i="10"/>
  <c r="BK109" i="10"/>
  <c r="BO90" i="10"/>
  <c r="BR90" i="10" s="1"/>
  <c r="BT90" i="10"/>
  <c r="CC90" i="10"/>
  <c r="CF90" i="10" s="1"/>
  <c r="BX90" i="10"/>
  <c r="CA90" i="10" s="1"/>
  <c r="BK90" i="10"/>
  <c r="BU90" i="10"/>
  <c r="BL90" i="10"/>
  <c r="BU83" i="10"/>
  <c r="BL83" i="10"/>
  <c r="CC83" i="10"/>
  <c r="CF83" i="10" s="1"/>
  <c r="BO83" i="10"/>
  <c r="BR83" i="10" s="1"/>
  <c r="BX83" i="10"/>
  <c r="CA83" i="10" s="1"/>
  <c r="BT83" i="10"/>
  <c r="BK83" i="10"/>
  <c r="BU108" i="10"/>
  <c r="BL108" i="10"/>
  <c r="CC108" i="10"/>
  <c r="CF108" i="10" s="1"/>
  <c r="BO108" i="10"/>
  <c r="BR108" i="10" s="1"/>
  <c r="BX108" i="10"/>
  <c r="CA108" i="10" s="1"/>
  <c r="BT108" i="10"/>
  <c r="BK108" i="10"/>
  <c r="BU94" i="10"/>
  <c r="BL94" i="10"/>
  <c r="CC94" i="10"/>
  <c r="CF94" i="10" s="1"/>
  <c r="BO94" i="10"/>
  <c r="BR94" i="10" s="1"/>
  <c r="BX94" i="10"/>
  <c r="CA94" i="10" s="1"/>
  <c r="BT94" i="10"/>
  <c r="BK94" i="10"/>
  <c r="BU104" i="10"/>
  <c r="BL104" i="10"/>
  <c r="CC104" i="10"/>
  <c r="CF104" i="10" s="1"/>
  <c r="BO104" i="10"/>
  <c r="BR104" i="10" s="1"/>
  <c r="BX104" i="10"/>
  <c r="CA104" i="10" s="1"/>
  <c r="BT104" i="10"/>
  <c r="BK104" i="10"/>
  <c r="CC55" i="10"/>
  <c r="CF55" i="10" s="1"/>
  <c r="BO55" i="10"/>
  <c r="BR55" i="10" s="1"/>
  <c r="BX55" i="10"/>
  <c r="CA55" i="10" s="1"/>
  <c r="BT55" i="10"/>
  <c r="BK55" i="10"/>
  <c r="BU55" i="10"/>
  <c r="BL55" i="10"/>
  <c r="BU103" i="10"/>
  <c r="BL103" i="10"/>
  <c r="CC103" i="10"/>
  <c r="CF103" i="10" s="1"/>
  <c r="BO103" i="10"/>
  <c r="BR103" i="10" s="1"/>
  <c r="BX103" i="10"/>
  <c r="CA103" i="10" s="1"/>
  <c r="BT103" i="10"/>
  <c r="BK103" i="10"/>
  <c r="BU51" i="10"/>
  <c r="BL51" i="10"/>
  <c r="CC51" i="10"/>
  <c r="CF51" i="10" s="1"/>
  <c r="BO51" i="10"/>
  <c r="BR51" i="10" s="1"/>
  <c r="BX51" i="10"/>
  <c r="CA51" i="10" s="1"/>
  <c r="BT51" i="10"/>
  <c r="BK51" i="10"/>
  <c r="CC119" i="10"/>
  <c r="CF119" i="10" s="1"/>
  <c r="BO119" i="10"/>
  <c r="BR119" i="10" s="1"/>
  <c r="BX119" i="10"/>
  <c r="CA119" i="10" s="1"/>
  <c r="BT119" i="10"/>
  <c r="BK119" i="10"/>
  <c r="BU119" i="10"/>
  <c r="BL119" i="10"/>
  <c r="BU95" i="10"/>
  <c r="BL95" i="10"/>
  <c r="CC95" i="10"/>
  <c r="CF95" i="10" s="1"/>
  <c r="BO95" i="10"/>
  <c r="BR95" i="10" s="1"/>
  <c r="BX95" i="10"/>
  <c r="CA95" i="10" s="1"/>
  <c r="BT95" i="10"/>
  <c r="BK95" i="10"/>
  <c r="BG82" i="10"/>
  <c r="BH82" i="10" s="1"/>
  <c r="BI82" i="10"/>
  <c r="BP82" i="10"/>
  <c r="BU100" i="10"/>
  <c r="BL100" i="10"/>
  <c r="CC100" i="10"/>
  <c r="CF100" i="10" s="1"/>
  <c r="BO100" i="10"/>
  <c r="BR100" i="10" s="1"/>
  <c r="BX100" i="10"/>
  <c r="CA100" i="10" s="1"/>
  <c r="BT100" i="10"/>
  <c r="BK100" i="10"/>
  <c r="BU117" i="10"/>
  <c r="BL117" i="10"/>
  <c r="CC117" i="10"/>
  <c r="CF117" i="10" s="1"/>
  <c r="BO117" i="10"/>
  <c r="BR117" i="10" s="1"/>
  <c r="BX117" i="10"/>
  <c r="CA117" i="10" s="1"/>
  <c r="BT117" i="10"/>
  <c r="BK117" i="10"/>
  <c r="BU86" i="10"/>
  <c r="BL86" i="10"/>
  <c r="CC86" i="10"/>
  <c r="CF86" i="10" s="1"/>
  <c r="BO86" i="10"/>
  <c r="BR86" i="10" s="1"/>
  <c r="BX86" i="10"/>
  <c r="CA86" i="10" s="1"/>
  <c r="BT86" i="10"/>
  <c r="BK86" i="10"/>
  <c r="BU92" i="10"/>
  <c r="BL92" i="10"/>
  <c r="CC92" i="10"/>
  <c r="CF92" i="10" s="1"/>
  <c r="BO92" i="10"/>
  <c r="BR92" i="10" s="1"/>
  <c r="BX92" i="10"/>
  <c r="CA92" i="10" s="1"/>
  <c r="BT92" i="10"/>
  <c r="BK92" i="10"/>
  <c r="BU49" i="10"/>
  <c r="BL49" i="10"/>
  <c r="CC49" i="10"/>
  <c r="CF49" i="10" s="1"/>
  <c r="BO49" i="10"/>
  <c r="BR49" i="10" s="1"/>
  <c r="BX49" i="10"/>
  <c r="CA49" i="10" s="1"/>
  <c r="BT49" i="10"/>
  <c r="BK49" i="10"/>
  <c r="BU84" i="10"/>
  <c r="BL84" i="10"/>
  <c r="CC84" i="10"/>
  <c r="CF84" i="10" s="1"/>
  <c r="BO84" i="10"/>
  <c r="BR84" i="10" s="1"/>
  <c r="BX84" i="10"/>
  <c r="CA84" i="10" s="1"/>
  <c r="BT84" i="10"/>
  <c r="BK84" i="10"/>
  <c r="BI57" i="10"/>
  <c r="BP57" i="10"/>
  <c r="BG57" i="10"/>
  <c r="BH57" i="10" s="1"/>
  <c r="BU110" i="10"/>
  <c r="BL110" i="10"/>
  <c r="CC110" i="10"/>
  <c r="CF110" i="10" s="1"/>
  <c r="BO110" i="10"/>
  <c r="BR110" i="10" s="1"/>
  <c r="BX110" i="10"/>
  <c r="CA110" i="10" s="1"/>
  <c r="BT110" i="10"/>
  <c r="BK110" i="10"/>
  <c r="BU65" i="10"/>
  <c r="BL65" i="10"/>
  <c r="CC65" i="10"/>
  <c r="CF65" i="10" s="1"/>
  <c r="BO65" i="10"/>
  <c r="BR65" i="10" s="1"/>
  <c r="BX65" i="10"/>
  <c r="CA65" i="10" s="1"/>
  <c r="BT65" i="10"/>
  <c r="BK65" i="10"/>
  <c r="BG63" i="10"/>
  <c r="BH63" i="10" s="1"/>
  <c r="BI63" i="10"/>
  <c r="BP63" i="10"/>
  <c r="BU113" i="10"/>
  <c r="BL113" i="10"/>
  <c r="CC113" i="10"/>
  <c r="CF113" i="10" s="1"/>
  <c r="BO113" i="10"/>
  <c r="BR113" i="10" s="1"/>
  <c r="BX113" i="10"/>
  <c r="CA113" i="10" s="1"/>
  <c r="BT113" i="10"/>
  <c r="BK113" i="10"/>
  <c r="BG58" i="10"/>
  <c r="BH58" i="10" s="1"/>
  <c r="BI58" i="10"/>
  <c r="BP58" i="10"/>
  <c r="BG78" i="10"/>
  <c r="BH78" i="10" s="1"/>
  <c r="BI78" i="10"/>
  <c r="BP78" i="10"/>
  <c r="CC76" i="10"/>
  <c r="CF76" i="10" s="1"/>
  <c r="BX76" i="10"/>
  <c r="CA76" i="10" s="1"/>
  <c r="BK76" i="10"/>
  <c r="BO76" i="10"/>
  <c r="BR76" i="10" s="1"/>
  <c r="BT76" i="10"/>
  <c r="BL76" i="10"/>
  <c r="BU76" i="10"/>
  <c r="BG89" i="10"/>
  <c r="BH89" i="10" s="1"/>
  <c r="BI89" i="10"/>
  <c r="BP89" i="10"/>
  <c r="BG114" i="10"/>
  <c r="BH114" i="10" s="1"/>
  <c r="BI114" i="10"/>
  <c r="BP114" i="10"/>
  <c r="BG59" i="10"/>
  <c r="BH59" i="10" s="1"/>
  <c r="BI59" i="10"/>
  <c r="BP59" i="10"/>
  <c r="BG115" i="10"/>
  <c r="BH115" i="10" s="1"/>
  <c r="BI115" i="10"/>
  <c r="BP115" i="10"/>
  <c r="BG61" i="10"/>
  <c r="BH61" i="10" s="1"/>
  <c r="BI61" i="10"/>
  <c r="BP61" i="10"/>
  <c r="BU98" i="10"/>
  <c r="BL98" i="10"/>
  <c r="CC98" i="10"/>
  <c r="CF98" i="10" s="1"/>
  <c r="BO98" i="10"/>
  <c r="BR98" i="10" s="1"/>
  <c r="BX98" i="10"/>
  <c r="CA98" i="10" s="1"/>
  <c r="BT98" i="10"/>
  <c r="BK98" i="10"/>
  <c r="BG52" i="10"/>
  <c r="BH52" i="10" s="1"/>
  <c r="BI52" i="10"/>
  <c r="BP52" i="10"/>
  <c r="BG68" i="10"/>
  <c r="BH68" i="10" s="1"/>
  <c r="BI68" i="10"/>
  <c r="BP68" i="10"/>
  <c r="BU69" i="10"/>
  <c r="BL69" i="10"/>
  <c r="CC69" i="10"/>
  <c r="CF69" i="10" s="1"/>
  <c r="BO69" i="10"/>
  <c r="BR69" i="10" s="1"/>
  <c r="BX69" i="10"/>
  <c r="CA69" i="10" s="1"/>
  <c r="BT69" i="10"/>
  <c r="BK69" i="10"/>
  <c r="BG56" i="10"/>
  <c r="BH56" i="10" s="1"/>
  <c r="BI56" i="10"/>
  <c r="BP56" i="10"/>
  <c r="BG102" i="10"/>
  <c r="BH102" i="10" s="1"/>
  <c r="BI102" i="10"/>
  <c r="BP102" i="10"/>
  <c r="BG93" i="10"/>
  <c r="BH93" i="10" s="1"/>
  <c r="BI93" i="10"/>
  <c r="BP93" i="10"/>
  <c r="BG71" i="10"/>
  <c r="BH71" i="10" s="1"/>
  <c r="BI71" i="10"/>
  <c r="BP71" i="10"/>
  <c r="BU120" i="10"/>
  <c r="BL120" i="10"/>
  <c r="CC120" i="10"/>
  <c r="CF120" i="10" s="1"/>
  <c r="BO120" i="10"/>
  <c r="BR120" i="10" s="1"/>
  <c r="BX120" i="10"/>
  <c r="CA120" i="10" s="1"/>
  <c r="BT120" i="10"/>
  <c r="BK120" i="10"/>
  <c r="BG53" i="10"/>
  <c r="BH53" i="10" s="1"/>
  <c r="BI53" i="10"/>
  <c r="BP53" i="10"/>
  <c r="BU107" i="10"/>
  <c r="BL107" i="10"/>
  <c r="CC107" i="10"/>
  <c r="CF107" i="10" s="1"/>
  <c r="BO107" i="10"/>
  <c r="BR107" i="10" s="1"/>
  <c r="BX107" i="10"/>
  <c r="CA107" i="10" s="1"/>
  <c r="BT107" i="10"/>
  <c r="BK107" i="10"/>
  <c r="BU67" i="10"/>
  <c r="BL67" i="10"/>
  <c r="CC67" i="10"/>
  <c r="CF67" i="10" s="1"/>
  <c r="BO67" i="10"/>
  <c r="BR67" i="10" s="1"/>
  <c r="BX67" i="10"/>
  <c r="CA67" i="10" s="1"/>
  <c r="BT67" i="10"/>
  <c r="BK67" i="10"/>
  <c r="BG87" i="10"/>
  <c r="BH87" i="10" s="1"/>
  <c r="BI87" i="10"/>
  <c r="BP87" i="10"/>
  <c r="BG72" i="10"/>
  <c r="BH72" i="10" s="1"/>
  <c r="BI72" i="10"/>
  <c r="BP72" i="10"/>
  <c r="BU54" i="10"/>
  <c r="BL54" i="10"/>
  <c r="CC54" i="10"/>
  <c r="CF54" i="10" s="1"/>
  <c r="BO54" i="10"/>
  <c r="BR54" i="10" s="1"/>
  <c r="BX54" i="10"/>
  <c r="CA54" i="10" s="1"/>
  <c r="BT54" i="10"/>
  <c r="BK54" i="10"/>
  <c r="BG73" i="10"/>
  <c r="BH73" i="10" s="1"/>
  <c r="BI73" i="10"/>
  <c r="BP73" i="10"/>
  <c r="BU88" i="10"/>
  <c r="BL88" i="10"/>
  <c r="CC88" i="10"/>
  <c r="CF88" i="10" s="1"/>
  <c r="BO88" i="10"/>
  <c r="BR88" i="10" s="1"/>
  <c r="BX88" i="10"/>
  <c r="CA88" i="10" s="1"/>
  <c r="BT88" i="10"/>
  <c r="BK88" i="10"/>
  <c r="BU111" i="10"/>
  <c r="BL111" i="10"/>
  <c r="CC111" i="10"/>
  <c r="CF111" i="10" s="1"/>
  <c r="BO111" i="10"/>
  <c r="BR111" i="10" s="1"/>
  <c r="BX111" i="10"/>
  <c r="CA111" i="10" s="1"/>
  <c r="BT111" i="10"/>
  <c r="BK111" i="10"/>
  <c r="BG112" i="10"/>
  <c r="BH112" i="10" s="1"/>
  <c r="BI112" i="10"/>
  <c r="BP112" i="10"/>
  <c r="BU75" i="10"/>
  <c r="BL75" i="10"/>
  <c r="CC75" i="10"/>
  <c r="CF75" i="10" s="1"/>
  <c r="BO75" i="10"/>
  <c r="BR75" i="10" s="1"/>
  <c r="BX75" i="10"/>
  <c r="CA75" i="10" s="1"/>
  <c r="BT75" i="10"/>
  <c r="BK75" i="10"/>
  <c r="BU97" i="10"/>
  <c r="BL97" i="10"/>
  <c r="CC97" i="10"/>
  <c r="CF97" i="10" s="1"/>
  <c r="BO97" i="10"/>
  <c r="BR97" i="10" s="1"/>
  <c r="BX97" i="10"/>
  <c r="CA97" i="10" s="1"/>
  <c r="BT97" i="10"/>
  <c r="BK97" i="10"/>
  <c r="BG70" i="10"/>
  <c r="BH70" i="10" s="1"/>
  <c r="BI70" i="10"/>
  <c r="BP70" i="10"/>
  <c r="BU77" i="10"/>
  <c r="BL77" i="10"/>
  <c r="CC77" i="10"/>
  <c r="CF77" i="10" s="1"/>
  <c r="BO77" i="10"/>
  <c r="BR77" i="10" s="1"/>
  <c r="BX77" i="10"/>
  <c r="CA77" i="10" s="1"/>
  <c r="BT77" i="10"/>
  <c r="BK77" i="10"/>
  <c r="CC11" i="10"/>
  <c r="CF11" i="10" s="1"/>
  <c r="BO11" i="10"/>
  <c r="BR11" i="10" s="1"/>
  <c r="BX11" i="10"/>
  <c r="CA11" i="10" s="1"/>
  <c r="BT11" i="10"/>
  <c r="BV11" i="10" s="1"/>
  <c r="BK11" i="10"/>
  <c r="BM11" i="10" s="1"/>
  <c r="BG36" i="10"/>
  <c r="BH36" i="10" s="1"/>
  <c r="BI36" i="10"/>
  <c r="BP36" i="10"/>
  <c r="BI38" i="10"/>
  <c r="BP38" i="10"/>
  <c r="BG38" i="10"/>
  <c r="BH38" i="10" s="1"/>
  <c r="BI39" i="10"/>
  <c r="BP39" i="10"/>
  <c r="BG39" i="10"/>
  <c r="BH39" i="10" s="1"/>
  <c r="BI41" i="10"/>
  <c r="BP41" i="10"/>
  <c r="BG41" i="10"/>
  <c r="BH41" i="10" s="1"/>
  <c r="CC43" i="10"/>
  <c r="CF43" i="10" s="1"/>
  <c r="BO43" i="10"/>
  <c r="BR43" i="10" s="1"/>
  <c r="BX43" i="10"/>
  <c r="CA43" i="10" s="1"/>
  <c r="BT43" i="10"/>
  <c r="BK43" i="10"/>
  <c r="BU43" i="10"/>
  <c r="BL43" i="10"/>
  <c r="BI45" i="10"/>
  <c r="BP45" i="10"/>
  <c r="BG45" i="10"/>
  <c r="BH45" i="10" s="1"/>
  <c r="BM43" i="10" l="1"/>
  <c r="BM119" i="10"/>
  <c r="BM42" i="10"/>
  <c r="BV14" i="10"/>
  <c r="BM32" i="10"/>
  <c r="BV19" i="10"/>
  <c r="BM16" i="10"/>
  <c r="BV25" i="10"/>
  <c r="BM17" i="10"/>
  <c r="BV20" i="10"/>
  <c r="BM27" i="10"/>
  <c r="BV23" i="10"/>
  <c r="BV37" i="10"/>
  <c r="BM14" i="10"/>
  <c r="BV15" i="10"/>
  <c r="BV22" i="10"/>
  <c r="BM19" i="10"/>
  <c r="BV29" i="10"/>
  <c r="BM25" i="10"/>
  <c r="BV35" i="10"/>
  <c r="BM20" i="10"/>
  <c r="BM23" i="10"/>
  <c r="BV18" i="10"/>
  <c r="BM37" i="10"/>
  <c r="BV43" i="10"/>
  <c r="BV119" i="10"/>
  <c r="BM55" i="10"/>
  <c r="BM48" i="10"/>
  <c r="BV42" i="10"/>
  <c r="BM21" i="10"/>
  <c r="BM24" i="10"/>
  <c r="BV32" i="10"/>
  <c r="BM44" i="10"/>
  <c r="BV16" i="10"/>
  <c r="BV17" i="10"/>
  <c r="BM40" i="10"/>
  <c r="BV27" i="10"/>
  <c r="BM26" i="10"/>
  <c r="BV55" i="10"/>
  <c r="BV48" i="10"/>
  <c r="BM15" i="10"/>
  <c r="BV21" i="10"/>
  <c r="BM22" i="10"/>
  <c r="BV24" i="10"/>
  <c r="BM29" i="10"/>
  <c r="BV44" i="10"/>
  <c r="BM35" i="10"/>
  <c r="BV40" i="10"/>
  <c r="BM18" i="10"/>
  <c r="BV26" i="10"/>
  <c r="CC45" i="10"/>
  <c r="CF45" i="10" s="1"/>
  <c r="BO45" i="10"/>
  <c r="BR45" i="10" s="1"/>
  <c r="BX45" i="10"/>
  <c r="CA45" i="10" s="1"/>
  <c r="BT45" i="10"/>
  <c r="BK45" i="10"/>
  <c r="BU45" i="10"/>
  <c r="BL45" i="10"/>
  <c r="BM45" i="10" s="1"/>
  <c r="CC41" i="10"/>
  <c r="CF41" i="10" s="1"/>
  <c r="BO41" i="10"/>
  <c r="BR41" i="10" s="1"/>
  <c r="BX41" i="10"/>
  <c r="CA41" i="10" s="1"/>
  <c r="BT41" i="10"/>
  <c r="BK41" i="10"/>
  <c r="BU41" i="10"/>
  <c r="BL41" i="10"/>
  <c r="CC39" i="10"/>
  <c r="CF39" i="10" s="1"/>
  <c r="BO39" i="10"/>
  <c r="BR39" i="10" s="1"/>
  <c r="BX39" i="10"/>
  <c r="CA39" i="10" s="1"/>
  <c r="BT39" i="10"/>
  <c r="BK39" i="10"/>
  <c r="BU39" i="10"/>
  <c r="BL39" i="10"/>
  <c r="CC38" i="10"/>
  <c r="CF38" i="10" s="1"/>
  <c r="BO38" i="10"/>
  <c r="BR38" i="10" s="1"/>
  <c r="BX38" i="10"/>
  <c r="CA38" i="10" s="1"/>
  <c r="BT38" i="10"/>
  <c r="BK38" i="10"/>
  <c r="BU38" i="10"/>
  <c r="BV38" i="10" s="1"/>
  <c r="BL38" i="10"/>
  <c r="BU36" i="10"/>
  <c r="BL36" i="10"/>
  <c r="CC36" i="10"/>
  <c r="CF36" i="10" s="1"/>
  <c r="BO36" i="10"/>
  <c r="BR36" i="10" s="1"/>
  <c r="BX36" i="10"/>
  <c r="CA36" i="10" s="1"/>
  <c r="BT36" i="10"/>
  <c r="BK36" i="10"/>
  <c r="BM77" i="10"/>
  <c r="BV77" i="10"/>
  <c r="BU70" i="10"/>
  <c r="BL70" i="10"/>
  <c r="CC70" i="10"/>
  <c r="CF70" i="10" s="1"/>
  <c r="BO70" i="10"/>
  <c r="BR70" i="10" s="1"/>
  <c r="BX70" i="10"/>
  <c r="CA70" i="10" s="1"/>
  <c r="BT70" i="10"/>
  <c r="BK70" i="10"/>
  <c r="BM97" i="10"/>
  <c r="BV97" i="10"/>
  <c r="BM75" i="10"/>
  <c r="BV75" i="10"/>
  <c r="BU112" i="10"/>
  <c r="BL112" i="10"/>
  <c r="CC112" i="10"/>
  <c r="CF112" i="10" s="1"/>
  <c r="BO112" i="10"/>
  <c r="BR112" i="10" s="1"/>
  <c r="BX112" i="10"/>
  <c r="CA112" i="10" s="1"/>
  <c r="BT112" i="10"/>
  <c r="BK112" i="10"/>
  <c r="BM111" i="10"/>
  <c r="BV111" i="10"/>
  <c r="BM88" i="10"/>
  <c r="BV88" i="10"/>
  <c r="BU73" i="10"/>
  <c r="BL73" i="10"/>
  <c r="CC73" i="10"/>
  <c r="CF73" i="10" s="1"/>
  <c r="BO73" i="10"/>
  <c r="BR73" i="10" s="1"/>
  <c r="BX73" i="10"/>
  <c r="CA73" i="10" s="1"/>
  <c r="BT73" i="10"/>
  <c r="BK73" i="10"/>
  <c r="BM54" i="10"/>
  <c r="BV54" i="10"/>
  <c r="BU72" i="10"/>
  <c r="BL72" i="10"/>
  <c r="CC72" i="10"/>
  <c r="CF72" i="10" s="1"/>
  <c r="BO72" i="10"/>
  <c r="BR72" i="10" s="1"/>
  <c r="BX72" i="10"/>
  <c r="CA72" i="10" s="1"/>
  <c r="BT72" i="10"/>
  <c r="BK72" i="10"/>
  <c r="BU87" i="10"/>
  <c r="BL87" i="10"/>
  <c r="CC87" i="10"/>
  <c r="CF87" i="10" s="1"/>
  <c r="BO87" i="10"/>
  <c r="BR87" i="10" s="1"/>
  <c r="BX87" i="10"/>
  <c r="CA87" i="10" s="1"/>
  <c r="BT87" i="10"/>
  <c r="BK87" i="10"/>
  <c r="BM67" i="10"/>
  <c r="BV67" i="10"/>
  <c r="BM107" i="10"/>
  <c r="BV107" i="10"/>
  <c r="BU53" i="10"/>
  <c r="BL53" i="10"/>
  <c r="CC53" i="10"/>
  <c r="CF53" i="10" s="1"/>
  <c r="BO53" i="10"/>
  <c r="BR53" i="10" s="1"/>
  <c r="BX53" i="10"/>
  <c r="CA53" i="10" s="1"/>
  <c r="BT53" i="10"/>
  <c r="BK53" i="10"/>
  <c r="BM120" i="10"/>
  <c r="BV120" i="10"/>
  <c r="BU71" i="10"/>
  <c r="BL71" i="10"/>
  <c r="CC71" i="10"/>
  <c r="CF71" i="10" s="1"/>
  <c r="BO71" i="10"/>
  <c r="BR71" i="10" s="1"/>
  <c r="BX71" i="10"/>
  <c r="CA71" i="10" s="1"/>
  <c r="BT71" i="10"/>
  <c r="BK71" i="10"/>
  <c r="BU93" i="10"/>
  <c r="BL93" i="10"/>
  <c r="CC93" i="10"/>
  <c r="CF93" i="10" s="1"/>
  <c r="BO93" i="10"/>
  <c r="BR93" i="10" s="1"/>
  <c r="BX93" i="10"/>
  <c r="CA93" i="10" s="1"/>
  <c r="BT93" i="10"/>
  <c r="BK93" i="10"/>
  <c r="BU102" i="10"/>
  <c r="BL102" i="10"/>
  <c r="CC102" i="10"/>
  <c r="CF102" i="10" s="1"/>
  <c r="BO102" i="10"/>
  <c r="BR102" i="10" s="1"/>
  <c r="BX102" i="10"/>
  <c r="CA102" i="10" s="1"/>
  <c r="BT102" i="10"/>
  <c r="BK102" i="10"/>
  <c r="BU56" i="10"/>
  <c r="BL56" i="10"/>
  <c r="CC56" i="10"/>
  <c r="CF56" i="10" s="1"/>
  <c r="BO56" i="10"/>
  <c r="BR56" i="10" s="1"/>
  <c r="BX56" i="10"/>
  <c r="CA56" i="10" s="1"/>
  <c r="BT56" i="10"/>
  <c r="BK56" i="10"/>
  <c r="BM69" i="10"/>
  <c r="BV69" i="10"/>
  <c r="BU68" i="10"/>
  <c r="BL68" i="10"/>
  <c r="CC68" i="10"/>
  <c r="CF68" i="10" s="1"/>
  <c r="BO68" i="10"/>
  <c r="BR68" i="10" s="1"/>
  <c r="BX68" i="10"/>
  <c r="CA68" i="10" s="1"/>
  <c r="BT68" i="10"/>
  <c r="BK68" i="10"/>
  <c r="BU52" i="10"/>
  <c r="BL52" i="10"/>
  <c r="CC52" i="10"/>
  <c r="CF52" i="10" s="1"/>
  <c r="BO52" i="10"/>
  <c r="BR52" i="10" s="1"/>
  <c r="BX52" i="10"/>
  <c r="CA52" i="10" s="1"/>
  <c r="BT52" i="10"/>
  <c r="BK52" i="10"/>
  <c r="BM98" i="10"/>
  <c r="BV98" i="10"/>
  <c r="BU61" i="10"/>
  <c r="BL61" i="10"/>
  <c r="CC61" i="10"/>
  <c r="CF61" i="10" s="1"/>
  <c r="BO61" i="10"/>
  <c r="BR61" i="10" s="1"/>
  <c r="BX61" i="10"/>
  <c r="CA61" i="10" s="1"/>
  <c r="BT61" i="10"/>
  <c r="BK61" i="10"/>
  <c r="BU115" i="10"/>
  <c r="BL115" i="10"/>
  <c r="CC115" i="10"/>
  <c r="CF115" i="10" s="1"/>
  <c r="BO115" i="10"/>
  <c r="BR115" i="10" s="1"/>
  <c r="BX115" i="10"/>
  <c r="CA115" i="10" s="1"/>
  <c r="BT115" i="10"/>
  <c r="BK115" i="10"/>
  <c r="BU59" i="10"/>
  <c r="BL59" i="10"/>
  <c r="CC59" i="10"/>
  <c r="CF59" i="10" s="1"/>
  <c r="BO59" i="10"/>
  <c r="BR59" i="10" s="1"/>
  <c r="BX59" i="10"/>
  <c r="CA59" i="10" s="1"/>
  <c r="BT59" i="10"/>
  <c r="BK59" i="10"/>
  <c r="BU114" i="10"/>
  <c r="BL114" i="10"/>
  <c r="CC114" i="10"/>
  <c r="CF114" i="10" s="1"/>
  <c r="BO114" i="10"/>
  <c r="BR114" i="10" s="1"/>
  <c r="BX114" i="10"/>
  <c r="CA114" i="10" s="1"/>
  <c r="BT114" i="10"/>
  <c r="BK114" i="10"/>
  <c r="BU89" i="10"/>
  <c r="BL89" i="10"/>
  <c r="CC89" i="10"/>
  <c r="CF89" i="10" s="1"/>
  <c r="BO89" i="10"/>
  <c r="BR89" i="10" s="1"/>
  <c r="BX89" i="10"/>
  <c r="CA89" i="10" s="1"/>
  <c r="BT89" i="10"/>
  <c r="BK89" i="10"/>
  <c r="BV76" i="10"/>
  <c r="BM76" i="10"/>
  <c r="BU78" i="10"/>
  <c r="BL78" i="10"/>
  <c r="CC78" i="10"/>
  <c r="CF78" i="10" s="1"/>
  <c r="BO78" i="10"/>
  <c r="BR78" i="10" s="1"/>
  <c r="BX78" i="10"/>
  <c r="CA78" i="10" s="1"/>
  <c r="BT78" i="10"/>
  <c r="BK78" i="10"/>
  <c r="BU58" i="10"/>
  <c r="BL58" i="10"/>
  <c r="CC58" i="10"/>
  <c r="CF58" i="10" s="1"/>
  <c r="BO58" i="10"/>
  <c r="BR58" i="10" s="1"/>
  <c r="BX58" i="10"/>
  <c r="CA58" i="10" s="1"/>
  <c r="BT58" i="10"/>
  <c r="BK58" i="10"/>
  <c r="BM113" i="10"/>
  <c r="BV113" i="10"/>
  <c r="BU63" i="10"/>
  <c r="BL63" i="10"/>
  <c r="CC63" i="10"/>
  <c r="CF63" i="10" s="1"/>
  <c r="BO63" i="10"/>
  <c r="BR63" i="10" s="1"/>
  <c r="BX63" i="10"/>
  <c r="CA63" i="10" s="1"/>
  <c r="BT63" i="10"/>
  <c r="BK63" i="10"/>
  <c r="BM65" i="10"/>
  <c r="BV65" i="10"/>
  <c r="BM110" i="10"/>
  <c r="BV110" i="10"/>
  <c r="CC57" i="10"/>
  <c r="CF57" i="10" s="1"/>
  <c r="BO57" i="10"/>
  <c r="BR57" i="10" s="1"/>
  <c r="BX57" i="10"/>
  <c r="CA57" i="10" s="1"/>
  <c r="BT57" i="10"/>
  <c r="BK57" i="10"/>
  <c r="BU57" i="10"/>
  <c r="BL57" i="10"/>
  <c r="BM84" i="10"/>
  <c r="BV84" i="10"/>
  <c r="BM49" i="10"/>
  <c r="BV49" i="10"/>
  <c r="BM92" i="10"/>
  <c r="BV92" i="10"/>
  <c r="BM86" i="10"/>
  <c r="BV86" i="10"/>
  <c r="BM117" i="10"/>
  <c r="BV117" i="10"/>
  <c r="BM100" i="10"/>
  <c r="BV100" i="10"/>
  <c r="BU82" i="10"/>
  <c r="BL82" i="10"/>
  <c r="CC82" i="10"/>
  <c r="CF82" i="10" s="1"/>
  <c r="BO82" i="10"/>
  <c r="BR82" i="10" s="1"/>
  <c r="BX82" i="10"/>
  <c r="CA82" i="10" s="1"/>
  <c r="BT82" i="10"/>
  <c r="BK82" i="10"/>
  <c r="BM95" i="10"/>
  <c r="BV95" i="10"/>
  <c r="BM51" i="10"/>
  <c r="BV51" i="10"/>
  <c r="BM103" i="10"/>
  <c r="BV103" i="10"/>
  <c r="BM104" i="10"/>
  <c r="BV104" i="10"/>
  <c r="BM94" i="10"/>
  <c r="BV94" i="10"/>
  <c r="BM108" i="10"/>
  <c r="BV108" i="10"/>
  <c r="BM83" i="10"/>
  <c r="BV83" i="10"/>
  <c r="BM90" i="10"/>
  <c r="BV90" i="10"/>
  <c r="BM109" i="10"/>
  <c r="BV109" i="10"/>
  <c r="BM85" i="10"/>
  <c r="BV85" i="10"/>
  <c r="BM118" i="10"/>
  <c r="BV118" i="10"/>
  <c r="BM80" i="10"/>
  <c r="BV80" i="10"/>
  <c r="BM106" i="10"/>
  <c r="BV106" i="10"/>
  <c r="BM60" i="10"/>
  <c r="BV60" i="10"/>
  <c r="BM62" i="10"/>
  <c r="BV62" i="10"/>
  <c r="BM101" i="10"/>
  <c r="BV101" i="10"/>
  <c r="BM50" i="10"/>
  <c r="BV50" i="10"/>
  <c r="BM96" i="10"/>
  <c r="BV96" i="10"/>
  <c r="BM74" i="10"/>
  <c r="BV74" i="10"/>
  <c r="BM79" i="10"/>
  <c r="BV79" i="10"/>
  <c r="BM91" i="10"/>
  <c r="BV91" i="10"/>
  <c r="BM47" i="10"/>
  <c r="BV47" i="10"/>
  <c r="BM116" i="10"/>
  <c r="BV116" i="10"/>
  <c r="BM99" i="10"/>
  <c r="BV99" i="10"/>
  <c r="BM81" i="10"/>
  <c r="BV81" i="10"/>
  <c r="BM66" i="10"/>
  <c r="BV66" i="10"/>
  <c r="BM105" i="10"/>
  <c r="BV105" i="10"/>
  <c r="BM64" i="10"/>
  <c r="BV64" i="10"/>
  <c r="CC33" i="10"/>
  <c r="CF33" i="10" s="1"/>
  <c r="BO33" i="10"/>
  <c r="BR33" i="10" s="1"/>
  <c r="BX33" i="10"/>
  <c r="CA33" i="10" s="1"/>
  <c r="BT33" i="10"/>
  <c r="BK33" i="10"/>
  <c r="BU33" i="10"/>
  <c r="BL33" i="10"/>
  <c r="BM46" i="10"/>
  <c r="BV46" i="10"/>
  <c r="BM13" i="10"/>
  <c r="BV13" i="10"/>
  <c r="BM12" i="10"/>
  <c r="BV12" i="10"/>
  <c r="BM30" i="10"/>
  <c r="BV30" i="10"/>
  <c r="BM31" i="10"/>
  <c r="BV31" i="10"/>
  <c r="BM34" i="10"/>
  <c r="BV34" i="10"/>
  <c r="BM39" i="10" l="1"/>
  <c r="BV41" i="10"/>
  <c r="BM57" i="10"/>
  <c r="BM38" i="10"/>
  <c r="BV39" i="10"/>
  <c r="BV57" i="10"/>
  <c r="BM33" i="10"/>
  <c r="BM41" i="10"/>
  <c r="BV45" i="10"/>
  <c r="BV33" i="10"/>
  <c r="BM82" i="10"/>
  <c r="BV82" i="10"/>
  <c r="BM63" i="10"/>
  <c r="BV63" i="10"/>
  <c r="BM58" i="10"/>
  <c r="BV58" i="10"/>
  <c r="BM78" i="10"/>
  <c r="BV78" i="10"/>
  <c r="BM89" i="10"/>
  <c r="BV89" i="10"/>
  <c r="BM114" i="10"/>
  <c r="BV114" i="10"/>
  <c r="BM59" i="10"/>
  <c r="BV59" i="10"/>
  <c r="BM115" i="10"/>
  <c r="BV115" i="10"/>
  <c r="BM61" i="10"/>
  <c r="BV61" i="10"/>
  <c r="BM52" i="10"/>
  <c r="BV52" i="10"/>
  <c r="BM68" i="10"/>
  <c r="BV68" i="10"/>
  <c r="BM56" i="10"/>
  <c r="BV56" i="10"/>
  <c r="BM102" i="10"/>
  <c r="BV102" i="10"/>
  <c r="BM93" i="10"/>
  <c r="BV93" i="10"/>
  <c r="BM71" i="10"/>
  <c r="BV71" i="10"/>
  <c r="BM53" i="10"/>
  <c r="BV53" i="10"/>
  <c r="BM87" i="10"/>
  <c r="BV87" i="10"/>
  <c r="BM72" i="10"/>
  <c r="BV72" i="10"/>
  <c r="BM73" i="10"/>
  <c r="BV73" i="10"/>
  <c r="BM112" i="10"/>
  <c r="BV112" i="10"/>
  <c r="BM70" i="10"/>
  <c r="BV70" i="10"/>
  <c r="BM36" i="10"/>
  <c r="BV36" i="10"/>
</calcChain>
</file>

<file path=xl/comments1.xml><?xml version="1.0" encoding="utf-8"?>
<comments xmlns="http://schemas.openxmlformats.org/spreadsheetml/2006/main">
  <authors>
    <author>Usuario</author>
  </authors>
  <commentList>
    <comment ref="K11" authorId="0">
      <text>
        <r>
          <rPr>
            <sz val="9"/>
            <color indexed="81"/>
            <rFont val="Tahoma"/>
            <family val="2"/>
          </rPr>
          <t>Al 95%</t>
        </r>
      </text>
    </comment>
    <comment ref="K56" authorId="0">
      <text>
        <r>
          <rPr>
            <sz val="9"/>
            <color indexed="81"/>
            <rFont val="Tahoma"/>
            <family val="2"/>
          </rPr>
          <t>Al 95%</t>
        </r>
      </text>
    </comment>
  </commentList>
</comments>
</file>

<file path=xl/comments2.xml><?xml version="1.0" encoding="utf-8"?>
<comments xmlns="http://schemas.openxmlformats.org/spreadsheetml/2006/main">
  <authors>
    <author>Adriana</author>
  </authors>
  <commentList>
    <comment ref="N14" authorId="0">
      <text>
        <r>
          <rPr>
            <sz val="9"/>
            <color indexed="81"/>
            <rFont val="Tahoma"/>
            <family val="2"/>
          </rPr>
          <t>Tiempo de concentración</t>
        </r>
      </text>
    </comment>
  </commentList>
</comments>
</file>

<file path=xl/comments3.xml><?xml version="1.0" encoding="utf-8"?>
<comments xmlns="http://schemas.openxmlformats.org/spreadsheetml/2006/main">
  <authors>
    <author>Adriana</author>
  </authors>
  <commentList>
    <comment ref="B121" authorId="0">
      <text>
        <r>
          <rPr>
            <sz val="9"/>
            <color indexed="81"/>
            <rFont val="Tahoma"/>
            <family val="2"/>
          </rPr>
          <t>Hasta esta abscisa se utiliza la intensidad correspondiente a El Labrado</t>
        </r>
      </text>
    </comment>
  </commentList>
</comments>
</file>

<file path=xl/comments4.xml><?xml version="1.0" encoding="utf-8"?>
<comments xmlns="http://schemas.openxmlformats.org/spreadsheetml/2006/main">
  <authors>
    <author>Adriana</author>
  </authors>
  <commentList>
    <comment ref="AP5" authorId="0">
      <text>
        <r>
          <rPr>
            <sz val="9"/>
            <color indexed="81"/>
            <rFont val="Tahoma"/>
            <family val="2"/>
          </rPr>
          <t>Factor de conversión a unidades métricas</t>
        </r>
      </text>
    </comment>
    <comment ref="BT8" authorId="0">
      <text>
        <r>
          <rPr>
            <sz val="9"/>
            <color indexed="81"/>
            <rFont val="Tahoma"/>
            <family val="2"/>
          </rPr>
          <t>Tomar en cuenta la pendiente y las fricciones para distinguir entre uno y otro flujo</t>
        </r>
      </text>
    </comment>
    <comment ref="G9" authorId="0">
      <text>
        <r>
          <rPr>
            <sz val="9"/>
            <color indexed="81"/>
            <rFont val="Tahoma"/>
            <family val="2"/>
          </rPr>
          <t>1 = ARMICO
2 = Hormigón</t>
        </r>
      </text>
    </comment>
    <comment ref="I9" authorId="0">
      <text>
        <r>
          <rPr>
            <sz val="9"/>
            <color indexed="81"/>
            <rFont val="Tahoma"/>
            <family val="2"/>
          </rPr>
          <t>Pendiente Transversal</t>
        </r>
      </text>
    </comment>
    <comment ref="N9" authorId="0">
      <text>
        <r>
          <rPr>
            <sz val="9"/>
            <color indexed="81"/>
            <rFont val="Tahoma"/>
            <family val="2"/>
          </rPr>
          <t>Aplicar Solver, haciendo que "Resto" se iguale a cero</t>
        </r>
      </text>
    </comment>
    <comment ref="T9" authorId="0">
      <text>
        <r>
          <rPr>
            <sz val="9"/>
            <color indexed="81"/>
            <rFont val="Tahoma"/>
            <family val="2"/>
          </rPr>
          <t>Debe tener el valor de 1</t>
        </r>
      </text>
    </comment>
    <comment ref="V9" authorId="0">
      <text>
        <r>
          <rPr>
            <sz val="9"/>
            <color indexed="81"/>
            <rFont val="Tahoma"/>
            <family val="2"/>
          </rPr>
          <t>Pendiente crítica</t>
        </r>
      </text>
    </comment>
    <comment ref="AB9" authorId="0">
      <text>
        <r>
          <rPr>
            <sz val="9"/>
            <color indexed="81"/>
            <rFont val="Tahoma"/>
            <family val="2"/>
          </rPr>
          <t>Aplicar Solver, haciendo que "Resto" se iguale a cero y modificando el ancho del cajón, verificando que la altura sea mayor a 1,2 metros</t>
        </r>
      </text>
    </comment>
    <comment ref="AG9" authorId="0">
      <text>
        <r>
          <rPr>
            <sz val="9"/>
            <color indexed="81"/>
            <rFont val="Tahoma"/>
            <family val="2"/>
          </rPr>
          <t>Debe tener el valor de 1</t>
        </r>
      </text>
    </comment>
    <comment ref="AI9" authorId="0">
      <text>
        <r>
          <rPr>
            <sz val="9"/>
            <color indexed="81"/>
            <rFont val="Tahoma"/>
            <family val="2"/>
          </rPr>
          <t>Pendiente crítica</t>
        </r>
      </text>
    </comment>
    <comment ref="AV9" authorId="0">
      <text>
        <r>
          <rPr>
            <sz val="9"/>
            <color indexed="81"/>
            <rFont val="Tahoma"/>
            <family val="2"/>
          </rPr>
          <t>Con control de entrada</t>
        </r>
      </text>
    </comment>
    <comment ref="BA9" authorId="0">
      <text>
        <r>
          <rPr>
            <sz val="9"/>
            <color indexed="81"/>
            <rFont val="Tahoma"/>
            <family val="2"/>
          </rPr>
          <t>Coeficiente de pérdida de carga por la entrada</t>
        </r>
      </text>
    </comment>
    <comment ref="BE9" authorId="0">
      <text>
        <r>
          <rPr>
            <sz val="9"/>
            <color indexed="81"/>
            <rFont val="Tahoma"/>
            <family val="2"/>
          </rPr>
          <t>Al no tener un valor conocido, se asume como el promedio entre la altura crítia y el diámetro/altura</t>
        </r>
      </text>
    </comment>
    <comment ref="BF9" authorId="0">
      <text>
        <r>
          <rPr>
            <sz val="9"/>
            <color indexed="81"/>
            <rFont val="Tahoma"/>
            <family val="2"/>
          </rPr>
          <t>Con control de salida</t>
        </r>
      </text>
    </comment>
    <comment ref="BG9" authorId="0">
      <text>
        <r>
          <rPr>
            <sz val="9"/>
            <color indexed="81"/>
            <rFont val="Tahoma"/>
            <family val="2"/>
          </rPr>
          <t>A considerar para las restricciones del flujo</t>
        </r>
      </text>
    </comment>
    <comment ref="L10" authorId="0">
      <text>
        <r>
          <rPr>
            <sz val="9"/>
            <color indexed="81"/>
            <rFont val="Tahoma"/>
            <family val="2"/>
          </rPr>
          <t>No menor a 1,2 metros</t>
        </r>
      </text>
    </comment>
  </commentList>
</comments>
</file>

<file path=xl/comments5.xml><?xml version="1.0" encoding="utf-8"?>
<comments xmlns="http://schemas.openxmlformats.org/spreadsheetml/2006/main">
  <authors>
    <author>Adriana</author>
  </authors>
  <commentList>
    <comment ref="BC1" authorId="0">
      <text>
        <r>
          <rPr>
            <sz val="9"/>
            <color indexed="81"/>
            <rFont val="Tahoma"/>
            <family val="2"/>
          </rPr>
          <t>Valor a adicionar a cada lado del gavión (profundidad), incluyendo el ancho del cabezal</t>
        </r>
      </text>
    </comment>
    <comment ref="BI1" authorId="0">
      <text>
        <r>
          <rPr>
            <sz val="9"/>
            <color indexed="81"/>
            <rFont val="Tahoma"/>
            <family val="2"/>
          </rPr>
          <t xml:space="preserve">Valor a adicionar a cada lado del colchón reno (profundidad), incluyendo el ancho del cabezal
</t>
        </r>
      </text>
    </comment>
    <comment ref="CJ1" authorId="0">
      <text>
        <r>
          <rPr>
            <sz val="9"/>
            <color indexed="81"/>
            <rFont val="Tahoma"/>
            <family val="2"/>
          </rPr>
          <t xml:space="preserve">Ancho del cajón
</t>
        </r>
      </text>
    </comment>
  </commentList>
</comments>
</file>

<file path=xl/sharedStrings.xml><?xml version="1.0" encoding="utf-8"?>
<sst xmlns="http://schemas.openxmlformats.org/spreadsheetml/2006/main" count="1232" uniqueCount="415">
  <si>
    <t>Año</t>
  </si>
  <si>
    <t>Valores obtenidos:</t>
  </si>
  <si>
    <t>Media =</t>
  </si>
  <si>
    <t>Valores de precipitaciones máximas anuales en 24 horas</t>
  </si>
  <si>
    <t>Máxima =</t>
  </si>
  <si>
    <t>Mínima =</t>
  </si>
  <si>
    <t>Desviación =</t>
  </si>
  <si>
    <t xml:space="preserve">Zona </t>
  </si>
  <si>
    <t>Duración</t>
  </si>
  <si>
    <t>Ecuación</t>
  </si>
  <si>
    <t>T(x)</t>
  </si>
  <si>
    <t>F (x)</t>
  </si>
  <si>
    <r>
      <rPr>
        <sz val="11"/>
        <color theme="1"/>
        <rFont val="Calibri"/>
        <family val="2"/>
      </rPr>
      <t>α</t>
    </r>
    <r>
      <rPr>
        <sz val="8.8000000000000007"/>
        <color theme="1"/>
        <rFont val="Calibri"/>
        <family val="2"/>
      </rPr>
      <t xml:space="preserve"> =</t>
    </r>
  </si>
  <si>
    <t>u =</t>
  </si>
  <si>
    <t>x</t>
  </si>
  <si>
    <t>Prob</t>
  </si>
  <si>
    <t>El Labrado</t>
  </si>
  <si>
    <t>Santa Isabel</t>
  </si>
  <si>
    <t>Precipit. Máximas (mm)</t>
  </si>
  <si>
    <t>ITR = 40,035 * t ^ -0,341 IdTR</t>
  </si>
  <si>
    <t>ITR = 355,49 * t ^ -0,8043 IdTR</t>
  </si>
  <si>
    <t>116 min &lt; 1440 min</t>
  </si>
  <si>
    <t>5 min &lt; 116 min</t>
  </si>
  <si>
    <t>M141</t>
  </si>
  <si>
    <t>M032</t>
  </si>
  <si>
    <t>*Datos de los anuarios digitales desde 1990</t>
  </si>
  <si>
    <t xml:space="preserve">El Labrado </t>
  </si>
  <si>
    <t>Estación</t>
  </si>
  <si>
    <t>Código</t>
  </si>
  <si>
    <t>M-032</t>
  </si>
  <si>
    <t>5 min &lt; 43 min</t>
  </si>
  <si>
    <t>43 min &lt; 1440 min</t>
  </si>
  <si>
    <t>ITR = 121,82 * t ^ -0,4903 IdTR</t>
  </si>
  <si>
    <t>ITR = 473,1 * t ^ -0,8529 IdTR</t>
  </si>
  <si>
    <t>M-141</t>
  </si>
  <si>
    <t>5 min &lt; 41 min</t>
  </si>
  <si>
    <t>41 min &lt; 1440 min</t>
  </si>
  <si>
    <t>ITR = 177,26 * t ^ -0,5938 IdTR</t>
  </si>
  <si>
    <t>ITR = 466,46 * t ^ -0,843 IdTR</t>
  </si>
  <si>
    <t>5 min &lt; 60 min</t>
  </si>
  <si>
    <t>60 min &lt; 1440 min</t>
  </si>
  <si>
    <t>ITR = 137,27 * t ^ -0,5153 IdTR</t>
  </si>
  <si>
    <t>ITR = 578,56 * t ^ -0,8736 IdTR</t>
  </si>
  <si>
    <t>#</t>
  </si>
  <si>
    <t>ABSCISAS</t>
  </si>
  <si>
    <t>m</t>
  </si>
  <si>
    <t>I TR (mm/hr)</t>
  </si>
  <si>
    <t>I dTR</t>
  </si>
  <si>
    <t>Desnivel (m)</t>
  </si>
  <si>
    <t>Cota Inf.</t>
  </si>
  <si>
    <t>Cota Sup.</t>
  </si>
  <si>
    <t>Diferencia</t>
  </si>
  <si>
    <t>Asumido</t>
  </si>
  <si>
    <t>Calculado</t>
  </si>
  <si>
    <t>%S</t>
  </si>
  <si>
    <t>C</t>
  </si>
  <si>
    <t>Q (m3/s)</t>
  </si>
  <si>
    <t>Q</t>
  </si>
  <si>
    <t>m3/s</t>
  </si>
  <si>
    <t>n</t>
  </si>
  <si>
    <t>S =</t>
  </si>
  <si>
    <t>%</t>
  </si>
  <si>
    <t>Método</t>
  </si>
  <si>
    <t>Long. Cauce</t>
  </si>
  <si>
    <t>(m)</t>
  </si>
  <si>
    <r>
      <t>(Km</t>
    </r>
    <r>
      <rPr>
        <b/>
        <sz val="11"/>
        <color theme="1"/>
        <rFont val="Calibri"/>
        <family val="2"/>
      </rPr>
      <t>²)</t>
    </r>
  </si>
  <si>
    <t>(Ha)</t>
  </si>
  <si>
    <t>MÉTODO RACIONAL</t>
  </si>
  <si>
    <t>Tc (min)</t>
  </si>
  <si>
    <t>Fn (x)</t>
  </si>
  <si>
    <t>y</t>
  </si>
  <si>
    <t>F(x)</t>
  </si>
  <si>
    <t>I Fn(x) - F(x) I</t>
  </si>
  <si>
    <t>D =</t>
  </si>
  <si>
    <t xml:space="preserve">Dt = </t>
  </si>
  <si>
    <t>El Labrado:</t>
  </si>
  <si>
    <t>Santa Isabel:</t>
  </si>
  <si>
    <t>El ajuste es:</t>
  </si>
  <si>
    <t>PB</t>
  </si>
  <si>
    <t>Quebrada</t>
  </si>
  <si>
    <t>Control</t>
  </si>
  <si>
    <t>Puente</t>
  </si>
  <si>
    <t>Característica</t>
  </si>
  <si>
    <t>Hormigón</t>
  </si>
  <si>
    <t>Pendiente transversal:</t>
  </si>
  <si>
    <t>Material alcantarillas:</t>
  </si>
  <si>
    <t>Área</t>
  </si>
  <si>
    <t>Diámetro</t>
  </si>
  <si>
    <t>Yc</t>
  </si>
  <si>
    <t>ϴc</t>
  </si>
  <si>
    <t>rad</t>
  </si>
  <si>
    <t>T</t>
  </si>
  <si>
    <t>Ac</t>
  </si>
  <si>
    <t>Pc</t>
  </si>
  <si>
    <t>Rc</t>
  </si>
  <si>
    <t>(m2)</t>
  </si>
  <si>
    <t>Froude</t>
  </si>
  <si>
    <t>Vc</t>
  </si>
  <si>
    <t>(m/s)</t>
  </si>
  <si>
    <t>Sc</t>
  </si>
  <si>
    <t>Velocidad</t>
  </si>
  <si>
    <t>admisible</t>
  </si>
  <si>
    <t>Bosques y tierra forestal</t>
  </si>
  <si>
    <t>50% pasto cultivado y 50% vegetación arbustiva</t>
  </si>
  <si>
    <t>Q definitivo</t>
  </si>
  <si>
    <t>Diseño de Cunetas</t>
  </si>
  <si>
    <t>La pendiente mínima para el caso de cunetas es de 0.5%</t>
  </si>
  <si>
    <t>* Longitud más largo entre alcantarillas:</t>
  </si>
  <si>
    <t>* Tramo de pendiente mínima con su respectiva longitud:</t>
  </si>
  <si>
    <t xml:space="preserve">Datos </t>
  </si>
  <si>
    <t>Inicio:</t>
  </si>
  <si>
    <t>Final :</t>
  </si>
  <si>
    <t>I 25 =</t>
  </si>
  <si>
    <t>mm/hr</t>
  </si>
  <si>
    <t>Vo =</t>
  </si>
  <si>
    <t>m/s</t>
  </si>
  <si>
    <t>n =</t>
  </si>
  <si>
    <t>L =</t>
  </si>
  <si>
    <t>Henderson</t>
  </si>
  <si>
    <t>&lt; 4,5 m/s</t>
  </si>
  <si>
    <t>Capac &gt; Demanda</t>
  </si>
  <si>
    <t>Abscisa</t>
  </si>
  <si>
    <t>So</t>
  </si>
  <si>
    <t>a</t>
  </si>
  <si>
    <t>te</t>
  </si>
  <si>
    <t>q max</t>
  </si>
  <si>
    <t>Qd</t>
  </si>
  <si>
    <t>Q requerido</t>
  </si>
  <si>
    <t>V</t>
  </si>
  <si>
    <t xml:space="preserve">Requerimiento </t>
  </si>
  <si>
    <t>Inicio</t>
  </si>
  <si>
    <t>Fin</t>
  </si>
  <si>
    <t>seg</t>
  </si>
  <si>
    <t>m3/s/m</t>
  </si>
  <si>
    <t>Caudal</t>
  </si>
  <si>
    <t xml:space="preserve">Cálculos </t>
  </si>
  <si>
    <t>a =</t>
  </si>
  <si>
    <t>te =</t>
  </si>
  <si>
    <t>q max =</t>
  </si>
  <si>
    <t>Qd =</t>
  </si>
  <si>
    <t>L/s</t>
  </si>
  <si>
    <t>X1 =</t>
  </si>
  <si>
    <t>X1</t>
  </si>
  <si>
    <t>X2</t>
  </si>
  <si>
    <t>X2 =</t>
  </si>
  <si>
    <t>h =</t>
  </si>
  <si>
    <t>h</t>
  </si>
  <si>
    <t>Am =</t>
  </si>
  <si>
    <t>m2</t>
  </si>
  <si>
    <t>Pm =</t>
  </si>
  <si>
    <t xml:space="preserve">m </t>
  </si>
  <si>
    <t>Q (mann) =</t>
  </si>
  <si>
    <t>V =</t>
  </si>
  <si>
    <t>Cunetas de Hormigón</t>
  </si>
  <si>
    <t>L mas largo</t>
  </si>
  <si>
    <t>S minimo</t>
  </si>
  <si>
    <t>(%)</t>
  </si>
  <si>
    <t>El Labrado hasta la cota 2500 m</t>
  </si>
  <si>
    <t>Santa Isabel para cotas inferiores</t>
  </si>
  <si>
    <t>Vegetación arbustiva</t>
  </si>
  <si>
    <t>70% bosque intervenido y 30% pasto cultivado</t>
  </si>
  <si>
    <t>70% arboicultura tropical y 30% pasto cultivado</t>
  </si>
  <si>
    <t>Relleno</t>
  </si>
  <si>
    <t>curva</t>
  </si>
  <si>
    <t>Litros</t>
  </si>
  <si>
    <t xml:space="preserve">Long. Cuneta </t>
  </si>
  <si>
    <t>PB y Quebrada</t>
  </si>
  <si>
    <t>Tc (min) =</t>
  </si>
  <si>
    <t>IdTR =</t>
  </si>
  <si>
    <t>Sector Santa Isabel</t>
  </si>
  <si>
    <t>Sector El Labrado</t>
  </si>
  <si>
    <t>Semibanca (m) =</t>
  </si>
  <si>
    <t>Datos:</t>
  </si>
  <si>
    <t>Diseño de la cuneta triangular: (en base al mayor caudal obtenido, considerando los 2 parámetros anteriores)</t>
  </si>
  <si>
    <t>X</t>
  </si>
  <si>
    <t>X =</t>
  </si>
  <si>
    <t>Parte 1</t>
  </si>
  <si>
    <t>Parte 2</t>
  </si>
  <si>
    <t>Resto</t>
  </si>
  <si>
    <t>http://es.scribd.com/doc/105255557/DRENAJE-SUPERFICIAL-SOBRE-CARRETERAS-ALCANTARILLAS#scribd</t>
  </si>
  <si>
    <t>Cajón</t>
  </si>
  <si>
    <t>hv</t>
  </si>
  <si>
    <t>ke</t>
  </si>
  <si>
    <t>he</t>
  </si>
  <si>
    <t xml:space="preserve">Longitud </t>
  </si>
  <si>
    <t>z</t>
  </si>
  <si>
    <t>(h1-z)/D</t>
  </si>
  <si>
    <t>hf</t>
  </si>
  <si>
    <t>H</t>
  </si>
  <si>
    <t>Hs = h4</t>
  </si>
  <si>
    <t>h4 &lt; hc</t>
  </si>
  <si>
    <t>alcantarilla</t>
  </si>
  <si>
    <t>Material</t>
  </si>
  <si>
    <t>Tipo</t>
  </si>
  <si>
    <t>He = h1</t>
  </si>
  <si>
    <t>Observación</t>
  </si>
  <si>
    <t xml:space="preserve">Alcantarilla </t>
  </si>
  <si>
    <t>ARMICO</t>
  </si>
  <si>
    <t>b</t>
  </si>
  <si>
    <t>c</t>
  </si>
  <si>
    <t>d</t>
  </si>
  <si>
    <t>e</t>
  </si>
  <si>
    <t>f</t>
  </si>
  <si>
    <t>Coeficientes de regresión para el cálculo de alcantarillas con control de entrada</t>
  </si>
  <si>
    <t>Alto</t>
  </si>
  <si>
    <t>Ancho</t>
  </si>
  <si>
    <t>Z =</t>
  </si>
  <si>
    <t>(h1-z)/D &gt; 1</t>
  </si>
  <si>
    <t>h4/D &gt; 1</t>
  </si>
  <si>
    <t>h4/D</t>
  </si>
  <si>
    <t>Tipo 1</t>
  </si>
  <si>
    <t>Tipo 2 ó Tipo 3</t>
  </si>
  <si>
    <t>(h1-z)/D &gt;= 1,5</t>
  </si>
  <si>
    <t>h4/D &lt;= 1</t>
  </si>
  <si>
    <t>(h1-z)/D &lt; 1,5</t>
  </si>
  <si>
    <t>So &lt; Sc</t>
  </si>
  <si>
    <t>So &gt; Sc</t>
  </si>
  <si>
    <t>Tipo 4</t>
  </si>
  <si>
    <t>Tipo 5</t>
  </si>
  <si>
    <t>h4 &gt; hc</t>
  </si>
  <si>
    <t>h4 &gt; D</t>
  </si>
  <si>
    <t>Ingresar</t>
  </si>
  <si>
    <t>Tipo 6</t>
  </si>
  <si>
    <t>ALCANTARILLA CIRCULAR</t>
  </si>
  <si>
    <t>ALCANTARILLA RECTANGULAR (CAJÓN)</t>
  </si>
  <si>
    <t xml:space="preserve">Cumple </t>
  </si>
  <si>
    <t>No Cumple</t>
  </si>
  <si>
    <t>Condiciones</t>
  </si>
  <si>
    <t>Circulares</t>
  </si>
  <si>
    <t>He</t>
  </si>
  <si>
    <t>FLUJO SIN TIRANTE CRÍTICO</t>
  </si>
  <si>
    <t>FLUJOS CON TIRANTE CRÍTICO A LA SALIDA</t>
  </si>
  <si>
    <t>FLUJOS CON TIRANTE CRÍTICO A LA ENTRADA</t>
  </si>
  <si>
    <t>IdTR</t>
  </si>
  <si>
    <t>T (años)</t>
  </si>
  <si>
    <t>Tr (años)</t>
  </si>
  <si>
    <t>Intervalo</t>
  </si>
  <si>
    <t>t (min)</t>
  </si>
  <si>
    <t>t (hr)</t>
  </si>
  <si>
    <t>I(mm/hr)</t>
  </si>
  <si>
    <t>P (mm)</t>
  </si>
  <si>
    <t>∆P</t>
  </si>
  <si>
    <t>minutos</t>
  </si>
  <si>
    <t>horas</t>
  </si>
  <si>
    <t>Ia</t>
  </si>
  <si>
    <t>min</t>
  </si>
  <si>
    <t>S</t>
  </si>
  <si>
    <t>L cauce</t>
  </si>
  <si>
    <t>km</t>
  </si>
  <si>
    <t>Pend superficie</t>
  </si>
  <si>
    <t>Área drenaje</t>
  </si>
  <si>
    <t>km2</t>
  </si>
  <si>
    <t>Uso suelos</t>
  </si>
  <si>
    <t>C (Tabla)</t>
  </si>
  <si>
    <t>C (Ponderado)</t>
  </si>
  <si>
    <t>Σ</t>
  </si>
  <si>
    <t xml:space="preserve">Tc </t>
  </si>
  <si>
    <t>Bosque intervenido</t>
  </si>
  <si>
    <t>Bosque natural</t>
  </si>
  <si>
    <t>Pasto cultivado</t>
  </si>
  <si>
    <t>Páramo</t>
  </si>
  <si>
    <t>Para el tiempo de concentración:</t>
  </si>
  <si>
    <t>Para el tiempo de retardo:</t>
  </si>
  <si>
    <t xml:space="preserve">Tr </t>
  </si>
  <si>
    <t>hr</t>
  </si>
  <si>
    <t xml:space="preserve">mm  </t>
  </si>
  <si>
    <t>Condiciones Tipo B y deficientes</t>
  </si>
  <si>
    <t>Perfiles para el puente:</t>
  </si>
  <si>
    <t>PERFIL 1</t>
  </si>
  <si>
    <t>Cota</t>
  </si>
  <si>
    <t>PERFIL 2</t>
  </si>
  <si>
    <t>PERFIL 3</t>
  </si>
  <si>
    <t>PERFIL 4</t>
  </si>
  <si>
    <t>PERFIL 5</t>
  </si>
  <si>
    <t>PERFIL 6</t>
  </si>
  <si>
    <t>PERFIL 7</t>
  </si>
  <si>
    <t>PERFIL 8</t>
  </si>
  <si>
    <t>PERFIL 9</t>
  </si>
  <si>
    <t>PERFIL 10</t>
  </si>
  <si>
    <t>PERFIL 11</t>
  </si>
  <si>
    <t>PERFIL 12</t>
  </si>
  <si>
    <t>PERFIL 13</t>
  </si>
  <si>
    <t>PERFIL 14</t>
  </si>
  <si>
    <t>d50 =</t>
  </si>
  <si>
    <t xml:space="preserve">Finalmente se asume: </t>
  </si>
  <si>
    <t>para las riberas del río</t>
  </si>
  <si>
    <t>Cota Fondo</t>
  </si>
  <si>
    <t>Cota Máxima</t>
  </si>
  <si>
    <t>m.s.n.m.</t>
  </si>
  <si>
    <t xml:space="preserve">Calado </t>
  </si>
  <si>
    <t>Rugosidad</t>
  </si>
  <si>
    <t>Radio</t>
  </si>
  <si>
    <t>qj</t>
  </si>
  <si>
    <t>hcj</t>
  </si>
  <si>
    <t>Hs</t>
  </si>
  <si>
    <t>Ecuaciones de intensidad (INAMHI)</t>
  </si>
  <si>
    <t>Alcantarillas ya colocadas</t>
  </si>
  <si>
    <t>La abscisa del puente cae en la zona de Santa Isabel</t>
  </si>
  <si>
    <t>Hietograma de bloques alternos</t>
  </si>
  <si>
    <t>Desnivel</t>
  </si>
  <si>
    <t>diámetro característico de las partículas del fondo</t>
  </si>
  <si>
    <t>rugosidad calculada (Strickler)</t>
  </si>
  <si>
    <t xml:space="preserve">Pendiente </t>
  </si>
  <si>
    <t>*Obtenido en Civil Cad</t>
  </si>
  <si>
    <t>Se usa el Perfil 3</t>
  </si>
  <si>
    <t>*</t>
  </si>
  <si>
    <t>cm</t>
  </si>
  <si>
    <t>PB:</t>
  </si>
  <si>
    <t>Relleno:</t>
  </si>
  <si>
    <t>Control:</t>
  </si>
  <si>
    <t>Quebrada:</t>
  </si>
  <si>
    <t>TOTAL =</t>
  </si>
  <si>
    <t>Cunetas:</t>
  </si>
  <si>
    <t>(m3)</t>
  </si>
  <si>
    <t>Longitud</t>
  </si>
  <si>
    <t>Cunetas</t>
  </si>
  <si>
    <t>Alcantarillas:</t>
  </si>
  <si>
    <t>Volumen H°</t>
  </si>
  <si>
    <t>Drenaje</t>
  </si>
  <si>
    <t>Alcantarilla</t>
  </si>
  <si>
    <t>Cajón H°</t>
  </si>
  <si>
    <t>1,2x1,2</t>
  </si>
  <si>
    <t>1,5x1,5</t>
  </si>
  <si>
    <t>Dimensión (m)</t>
  </si>
  <si>
    <t>Total</t>
  </si>
  <si>
    <t>Total H° (m3)</t>
  </si>
  <si>
    <t># estructuras</t>
  </si>
  <si>
    <t>1,2*1,2</t>
  </si>
  <si>
    <t>1,5*1,5</t>
  </si>
  <si>
    <t>Volumen</t>
  </si>
  <si>
    <t>CANTIDAD Y LONGITUD DE LAS ALCANTARILLAS</t>
  </si>
  <si>
    <t>Alto (m)</t>
  </si>
  <si>
    <t>Ancho (m)</t>
  </si>
  <si>
    <t>Espesor (m)</t>
  </si>
  <si>
    <t>Área Ducto (m2)</t>
  </si>
  <si>
    <t>Volumen (m3)</t>
  </si>
  <si>
    <t>Área (m2)</t>
  </si>
  <si>
    <t>Total (m3)</t>
  </si>
  <si>
    <t>Mayor</t>
  </si>
  <si>
    <t>BASE</t>
  </si>
  <si>
    <t>MURO</t>
  </si>
  <si>
    <t>ALA</t>
  </si>
  <si>
    <t>ENTRADA</t>
  </si>
  <si>
    <t>SALIDA</t>
  </si>
  <si>
    <t>VOLUMEN TOTAL DE LAS ESTRUCTURAS (ENTRADA Y SALIDA)</t>
  </si>
  <si>
    <t>Geomembrana</t>
  </si>
  <si>
    <t>L (m)</t>
  </si>
  <si>
    <t># CABEZALES A LA ENTRADA</t>
  </si>
  <si>
    <t># TOTAL DE CABEZALES</t>
  </si>
  <si>
    <t># CABEZALES A LA SALIDA</t>
  </si>
  <si>
    <t>CAJONES A LA ENTRADA</t>
  </si>
  <si>
    <t>Vol. Corte</t>
  </si>
  <si>
    <t>Vol. (m3)</t>
  </si>
  <si>
    <t>GAVIONES</t>
  </si>
  <si>
    <t>COLCHÓN RENO</t>
  </si>
  <si>
    <t>Área total de la geomembrana:</t>
  </si>
  <si>
    <t>Altura al centro</t>
  </si>
  <si>
    <t>VOLUMEN DE EXCAVACIÓN PARA ALCANTARILLAS</t>
  </si>
  <si>
    <t>Vol</t>
  </si>
  <si>
    <t>Acero de refuerzo</t>
  </si>
  <si>
    <t>Φ 14 mm (kg)</t>
  </si>
  <si>
    <t>se multiplica por 15 kg (2 varillas de 6m de largo) de acero en cada metro cúbico de hormigón</t>
  </si>
  <si>
    <t>Remoción y excavación de estructuras menores</t>
  </si>
  <si>
    <t>Sección</t>
  </si>
  <si>
    <t>Excavación para cunetas (m3)</t>
  </si>
  <si>
    <t>Excavación para alcantarillas (m3)</t>
  </si>
  <si>
    <t>Cajones</t>
  </si>
  <si>
    <t>Ítem</t>
  </si>
  <si>
    <t>Material filtrante</t>
  </si>
  <si>
    <t>Gaviones</t>
  </si>
  <si>
    <t>Colchón Reno</t>
  </si>
  <si>
    <t>Geomembrana para gaviones</t>
  </si>
  <si>
    <t>Geomembrana para colchón reno</t>
  </si>
  <si>
    <t>Altura</t>
  </si>
  <si>
    <t>Colchones</t>
  </si>
  <si>
    <t>Mallas</t>
  </si>
  <si>
    <t>Total:</t>
  </si>
  <si>
    <t>Remoción de alcantarillas existentes &lt; 1,2 m (m3)</t>
  </si>
  <si>
    <t>Remoción de terreno para estructuras de entrada (cajones-m3)</t>
  </si>
  <si>
    <t>TOTAL</t>
  </si>
  <si>
    <t>se asume un diámetro promedio de 1m</t>
  </si>
  <si>
    <t>Malla para gaviones</t>
  </si>
  <si>
    <t>Malla para colchón reno</t>
  </si>
  <si>
    <t>Estructuras de entrada y salida (cabezales y muros de ala)</t>
  </si>
  <si>
    <t>Estructuras de entrada (cajones de concreto)</t>
  </si>
  <si>
    <t>Alturas (m)</t>
  </si>
  <si>
    <t>Anchos (m)</t>
  </si>
  <si>
    <t>Volúmenes (m3)</t>
  </si>
  <si>
    <t>separación de (m):</t>
  </si>
  <si>
    <t>espesor (m):</t>
  </si>
  <si>
    <t>Número de cajones</t>
  </si>
  <si>
    <t>Uso de tierra o cubierta</t>
  </si>
  <si>
    <t>Tratamiento o Páctica</t>
  </si>
  <si>
    <t>Condiciones hidrologicas</t>
  </si>
  <si>
    <t>grupo hidrologico</t>
  </si>
  <si>
    <t>A</t>
  </si>
  <si>
    <t>B</t>
  </si>
  <si>
    <t>D</t>
  </si>
  <si>
    <t>Barbecho</t>
  </si>
  <si>
    <t>Cultivos en Lineas</t>
  </si>
  <si>
    <t>en surco</t>
  </si>
  <si>
    <t>deficientes</t>
  </si>
  <si>
    <t>buenas</t>
  </si>
  <si>
    <t>en fajas a nivel</t>
  </si>
  <si>
    <t>en fajas a nivel &amp; terreno</t>
  </si>
  <si>
    <t>cereales</t>
  </si>
  <si>
    <t>Leguminosa muy densa o praderas en rotacion</t>
  </si>
  <si>
    <t>pastos</t>
  </si>
  <si>
    <t>regulares</t>
  </si>
  <si>
    <t>Praderas (permanentes)</t>
  </si>
  <si>
    <t>Bosques</t>
  </si>
  <si>
    <t>Granjas</t>
  </si>
  <si>
    <t>carreteras sin afirmar</t>
  </si>
  <si>
    <t>carreteras afirmadas</t>
  </si>
  <si>
    <t>esviajamiento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</si>
</sst>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\+000.00"/>
    <numFmt numFmtId="166" formatCode="0.0000"/>
    <numFmt numFmtId="167" formatCode="0.00000"/>
    <numFmt numFmtId="168" formatCode="0.0000000"/>
    <numFmt numFmtId="169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63">
    <xf numFmtId="0" fontId="0" fillId="0" borderId="0" xfId="0"/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0" fillId="0" borderId="7" xfId="0" applyFont="1" applyBorder="1"/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1" fillId="0" borderId="8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168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0" xfId="0" applyFont="1"/>
    <xf numFmtId="0" fontId="11" fillId="0" borderId="0" xfId="0" applyFont="1"/>
    <xf numFmtId="0" fontId="12" fillId="0" borderId="0" xfId="0" applyFont="1"/>
    <xf numFmtId="1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13" fillId="4" borderId="1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0" fillId="0" borderId="8" xfId="0" applyBorder="1"/>
    <xf numFmtId="0" fontId="0" fillId="0" borderId="13" xfId="0" applyBorder="1"/>
    <xf numFmtId="0" fontId="0" fillId="0" borderId="11" xfId="0" applyFill="1" applyBorder="1"/>
    <xf numFmtId="0" fontId="0" fillId="0" borderId="9" xfId="0" applyBorder="1"/>
    <xf numFmtId="0" fontId="0" fillId="0" borderId="10" xfId="0" applyBorder="1"/>
    <xf numFmtId="0" fontId="0" fillId="0" borderId="12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166" fontId="0" fillId="0" borderId="0" xfId="0" applyNumberFormat="1"/>
    <xf numFmtId="169" fontId="0" fillId="0" borderId="0" xfId="0" applyNumberFormat="1"/>
    <xf numFmtId="0" fontId="0" fillId="0" borderId="1" xfId="0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0" fillId="8" borderId="4" xfId="0" applyNumberFormat="1" applyFill="1" applyBorder="1" applyAlignment="1">
      <alignment horizontal="center"/>
    </xf>
    <xf numFmtId="2" fontId="9" fillId="8" borderId="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9" fillId="0" borderId="0" xfId="0" applyFont="1"/>
    <xf numFmtId="164" fontId="9" fillId="0" borderId="1" xfId="0" applyNumberFormat="1" applyFon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0" fillId="4" borderId="0" xfId="0" applyFill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1" xfId="1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169" fontId="0" fillId="5" borderId="1" xfId="0" applyNumberFormat="1" applyFill="1" applyBorder="1" applyAlignment="1">
      <alignment horizontal="center"/>
    </xf>
    <xf numFmtId="169" fontId="0" fillId="5" borderId="0" xfId="0" applyNumberFormat="1" applyFill="1"/>
    <xf numFmtId="0" fontId="0" fillId="5" borderId="0" xfId="0" applyFill="1"/>
    <xf numFmtId="0" fontId="0" fillId="0" borderId="7" xfId="0" applyBorder="1"/>
    <xf numFmtId="169" fontId="0" fillId="0" borderId="6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1" fillId="0" borderId="1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3" xfId="0" applyFont="1" applyBorder="1"/>
    <xf numFmtId="0" fontId="1" fillId="0" borderId="26" xfId="0" applyFont="1" applyBorder="1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El Labrado</c:v>
          </c:tx>
          <c:xVal>
            <c:numRef>
              <c:f>'Precipitaciones máximas'!$I$29:$I$34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25</c:v>
                </c:pt>
                <c:pt idx="4">
                  <c:v>50</c:v>
                </c:pt>
                <c:pt idx="5">
                  <c:v>100</c:v>
                </c:pt>
              </c:numCache>
            </c:numRef>
          </c:xVal>
          <c:yVal>
            <c:numRef>
              <c:f>'Precipitaciones máximas'!$K$29:$K$34</c:f>
              <c:numCache>
                <c:formatCode>0.000</c:formatCode>
                <c:ptCount val="6"/>
                <c:pt idx="0">
                  <c:v>31.457913234673335</c:v>
                </c:pt>
                <c:pt idx="1">
                  <c:v>39.838774082548461</c:v>
                </c:pt>
                <c:pt idx="2">
                  <c:v>45.387633206606324</c:v>
                </c:pt>
                <c:pt idx="3">
                  <c:v>52.398631419593791</c:v>
                </c:pt>
                <c:pt idx="4">
                  <c:v>57.599790402544173</c:v>
                </c:pt>
                <c:pt idx="5">
                  <c:v>62.762544843994775</c:v>
                </c:pt>
              </c:numCache>
            </c:numRef>
          </c:yVal>
          <c:smooth val="1"/>
        </c:ser>
        <c:ser>
          <c:idx val="1"/>
          <c:order val="1"/>
          <c:tx>
            <c:v>Santa Isabel</c:v>
          </c:tx>
          <c:xVal>
            <c:numRef>
              <c:f>'Precipitaciones máximas'!$I$44:$I$49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25</c:v>
                </c:pt>
                <c:pt idx="4">
                  <c:v>50</c:v>
                </c:pt>
                <c:pt idx="5">
                  <c:v>100</c:v>
                </c:pt>
              </c:numCache>
            </c:numRef>
          </c:xVal>
          <c:yVal>
            <c:numRef>
              <c:f>'Precipitaciones máximas'!$K$44:$K$49</c:f>
              <c:numCache>
                <c:formatCode>0.000</c:formatCode>
                <c:ptCount val="6"/>
                <c:pt idx="0">
                  <c:v>27.408488543928637</c:v>
                </c:pt>
                <c:pt idx="1">
                  <c:v>34.526278958029927</c:v>
                </c:pt>
                <c:pt idx="2">
                  <c:v>39.23887555154468</c:v>
                </c:pt>
                <c:pt idx="3">
                  <c:v>45.193253840301949</c:v>
                </c:pt>
                <c:pt idx="4">
                  <c:v>49.610551803248946</c:v>
                </c:pt>
                <c:pt idx="5">
                  <c:v>53.995233131424541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668928"/>
        <c:axId val="120670464"/>
      </c:scatterChart>
      <c:valAx>
        <c:axId val="1206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670464"/>
        <c:crosses val="autoZero"/>
        <c:crossBetween val="midCat"/>
      </c:valAx>
      <c:valAx>
        <c:axId val="12067046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2066892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El Labrado</c:v>
          </c:tx>
          <c:xVal>
            <c:numRef>
              <c:f>'Precipitaciones máximas'!$I$29:$I$34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25</c:v>
                </c:pt>
                <c:pt idx="4">
                  <c:v>50</c:v>
                </c:pt>
                <c:pt idx="5">
                  <c:v>100</c:v>
                </c:pt>
              </c:numCache>
            </c:numRef>
          </c:xVal>
          <c:yVal>
            <c:numRef>
              <c:f>'Precipitaciones máximas'!$K$29:$K$34</c:f>
              <c:numCache>
                <c:formatCode>0.000</c:formatCode>
                <c:ptCount val="6"/>
                <c:pt idx="0">
                  <c:v>31.457913234673335</c:v>
                </c:pt>
                <c:pt idx="1">
                  <c:v>39.838774082548461</c:v>
                </c:pt>
                <c:pt idx="2">
                  <c:v>45.387633206606324</c:v>
                </c:pt>
                <c:pt idx="3">
                  <c:v>52.398631419593791</c:v>
                </c:pt>
                <c:pt idx="4">
                  <c:v>57.599790402544173</c:v>
                </c:pt>
                <c:pt idx="5">
                  <c:v>62.762544843994775</c:v>
                </c:pt>
              </c:numCache>
            </c:numRef>
          </c:yVal>
          <c:smooth val="1"/>
        </c:ser>
        <c:ser>
          <c:idx val="1"/>
          <c:order val="1"/>
          <c:tx>
            <c:v>Santa Isabel</c:v>
          </c:tx>
          <c:xVal>
            <c:numRef>
              <c:f>'Precipitaciones máximas'!$I$44:$I$49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25</c:v>
                </c:pt>
                <c:pt idx="4">
                  <c:v>50</c:v>
                </c:pt>
                <c:pt idx="5">
                  <c:v>100</c:v>
                </c:pt>
              </c:numCache>
            </c:numRef>
          </c:xVal>
          <c:yVal>
            <c:numRef>
              <c:f>'Precipitaciones máximas'!$K$44:$K$49</c:f>
              <c:numCache>
                <c:formatCode>0.000</c:formatCode>
                <c:ptCount val="6"/>
                <c:pt idx="0">
                  <c:v>27.408488543928637</c:v>
                </c:pt>
                <c:pt idx="1">
                  <c:v>34.526278958029927</c:v>
                </c:pt>
                <c:pt idx="2">
                  <c:v>39.23887555154468</c:v>
                </c:pt>
                <c:pt idx="3">
                  <c:v>45.193253840301949</c:v>
                </c:pt>
                <c:pt idx="4">
                  <c:v>49.610551803248946</c:v>
                </c:pt>
                <c:pt idx="5">
                  <c:v>53.995233131424541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86240"/>
        <c:axId val="120988416"/>
      </c:scatterChart>
      <c:valAx>
        <c:axId val="120986240"/>
        <c:scaling>
          <c:logBase val="10"/>
          <c:orientation val="minMax"/>
          <c:max val="2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Período de retorno (Años)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0988416"/>
        <c:crosses val="autoZero"/>
        <c:crossBetween val="midCat"/>
      </c:valAx>
      <c:valAx>
        <c:axId val="120988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C"/>
                  <a:t>Precipitación 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098624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100 años</c:v>
          </c:tx>
          <c:trendline>
            <c:trendlineType val="power"/>
            <c:dispRSqr val="1"/>
            <c:dispEq val="1"/>
            <c:trendlineLbl>
              <c:layout>
                <c:manualLayout>
                  <c:x val="-0.23158617672790902"/>
                  <c:y val="-0.2197010790317877"/>
                </c:manualLayout>
              </c:layout>
              <c:numFmt formatCode="General" sourceLinked="0"/>
            </c:trendlineLbl>
          </c:trendline>
          <c:xVal>
            <c:numRef>
              <c:f>Hietograma!$D$14:$O$14</c:f>
              <c:numCache>
                <c:formatCode>0</c:formatCode>
                <c:ptCount val="12"/>
                <c:pt idx="0" formatCode="General">
                  <c:v>5</c:v>
                </c:pt>
                <c:pt idx="1">
                  <c:v>10</c:v>
                </c:pt>
                <c:pt idx="2">
                  <c:v>15</c:v>
                </c:pt>
                <c:pt idx="3" formatCode="General">
                  <c:v>20</c:v>
                </c:pt>
                <c:pt idx="4" formatCode="General">
                  <c:v>30</c:v>
                </c:pt>
                <c:pt idx="5" formatCode="General">
                  <c:v>45</c:v>
                </c:pt>
                <c:pt idx="6" formatCode="General">
                  <c:v>60</c:v>
                </c:pt>
                <c:pt idx="7" formatCode="General">
                  <c:v>120</c:v>
                </c:pt>
                <c:pt idx="8" formatCode="General">
                  <c:v>240</c:v>
                </c:pt>
                <c:pt idx="9" formatCode="General">
                  <c:v>360</c:v>
                </c:pt>
                <c:pt idx="10" formatCode="General">
                  <c:v>720</c:v>
                </c:pt>
                <c:pt idx="11" formatCode="General">
                  <c:v>1440</c:v>
                </c:pt>
              </c:numCache>
            </c:numRef>
          </c:xVal>
          <c:yVal>
            <c:numRef>
              <c:f>Hietograma!$D$19:$O$19</c:f>
              <c:numCache>
                <c:formatCode>0.000</c:formatCode>
                <c:ptCount val="12"/>
                <c:pt idx="0">
                  <c:v>138.34186008284274</c:v>
                </c:pt>
                <c:pt idx="1">
                  <c:v>98.482395487312445</c:v>
                </c:pt>
                <c:pt idx="2">
                  <c:v>80.727417510820132</c:v>
                </c:pt>
                <c:pt idx="3">
                  <c:v>70.107357347310028</c:v>
                </c:pt>
                <c:pt idx="4">
                  <c:v>57.467995971784482</c:v>
                </c:pt>
                <c:pt idx="5">
                  <c:v>46.011670783127066</c:v>
                </c:pt>
                <c:pt idx="6">
                  <c:v>36.000435564327987</c:v>
                </c:pt>
                <c:pt idx="7">
                  <c:v>19.932385222974599</c:v>
                </c:pt>
                <c:pt idx="8">
                  <c:v>11.035977049975799</c:v>
                </c:pt>
                <c:pt idx="9">
                  <c:v>7.8094878544546562</c:v>
                </c:pt>
                <c:pt idx="10">
                  <c:v>4.3238843605373862</c:v>
                </c:pt>
                <c:pt idx="11">
                  <c:v>2.3940079441490258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52000"/>
        <c:axId val="122353920"/>
      </c:scatterChart>
      <c:valAx>
        <c:axId val="12235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Duración (min)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2353920"/>
        <c:crosses val="autoZero"/>
        <c:crossBetween val="midCat"/>
      </c:valAx>
      <c:valAx>
        <c:axId val="122353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C"/>
                  <a:t>Intensidad (mm/hr)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2235200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tx1"/>
              </a:solidFill>
            </a:ln>
          </c:spPr>
          <c:invertIfNegative val="0"/>
          <c:val>
            <c:numRef>
              <c:f>Hietograma!$U$26:$U$33</c:f>
              <c:numCache>
                <c:formatCode>0.000</c:formatCode>
                <c:ptCount val="8"/>
                <c:pt idx="0">
                  <c:v>1.982931085085724</c:v>
                </c:pt>
                <c:pt idx="1">
                  <c:v>2.6028335641986757</c:v>
                </c:pt>
                <c:pt idx="2">
                  <c:v>4.0358970237049832</c:v>
                </c:pt>
                <c:pt idx="3">
                  <c:v>29.748109734650026</c:v>
                </c:pt>
                <c:pt idx="4">
                  <c:v>5.9735223959238191</c:v>
                </c:pt>
                <c:pt idx="5">
                  <c:v>3.1371291434800028</c:v>
                </c:pt>
                <c:pt idx="6">
                  <c:v>2.2434854148435974</c:v>
                </c:pt>
                <c:pt idx="7">
                  <c:v>1.7841443428688208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177792"/>
        <c:axId val="122192256"/>
      </c:barChart>
      <c:catAx>
        <c:axId val="12217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Duración</a:t>
                </a:r>
                <a:r>
                  <a:rPr lang="es-EC" baseline="0"/>
                  <a:t> (horas)</a:t>
                </a:r>
                <a:endParaRPr lang="es-EC"/>
              </a:p>
            </c:rich>
          </c:tx>
          <c:overlay val="0"/>
        </c:title>
        <c:majorTickMark val="out"/>
        <c:minorTickMark val="none"/>
        <c:tickLblPos val="nextTo"/>
        <c:crossAx val="122192256"/>
        <c:crosses val="autoZero"/>
        <c:auto val="1"/>
        <c:lblAlgn val="ctr"/>
        <c:lblOffset val="100"/>
        <c:noMultiLvlLbl val="0"/>
      </c:catAx>
      <c:valAx>
        <c:axId val="1221922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C"/>
                  <a:t>Precipitación</a:t>
                </a:r>
                <a:r>
                  <a:rPr lang="es-EC" baseline="0"/>
                  <a:t> (mm)</a:t>
                </a:r>
                <a:endParaRPr lang="es-EC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2217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xVal>
            <c:numRef>
              <c:f>Socavación!$B$18:$B$30</c:f>
              <c:numCache>
                <c:formatCode>General</c:formatCode>
                <c:ptCount val="13"/>
                <c:pt idx="0">
                  <c:v>40</c:v>
                </c:pt>
                <c:pt idx="1">
                  <c:v>50</c:v>
                </c:pt>
                <c:pt idx="2">
                  <c:v>53</c:v>
                </c:pt>
                <c:pt idx="3">
                  <c:v>56</c:v>
                </c:pt>
                <c:pt idx="4">
                  <c:v>60</c:v>
                </c:pt>
                <c:pt idx="5">
                  <c:v>63</c:v>
                </c:pt>
                <c:pt idx="6">
                  <c:v>66</c:v>
                </c:pt>
                <c:pt idx="7">
                  <c:v>70</c:v>
                </c:pt>
                <c:pt idx="8">
                  <c:v>73</c:v>
                </c:pt>
                <c:pt idx="9">
                  <c:v>76</c:v>
                </c:pt>
                <c:pt idx="10">
                  <c:v>80</c:v>
                </c:pt>
                <c:pt idx="11">
                  <c:v>90</c:v>
                </c:pt>
                <c:pt idx="12">
                  <c:v>100</c:v>
                </c:pt>
              </c:numCache>
            </c:numRef>
          </c:xVal>
          <c:yVal>
            <c:numRef>
              <c:f>Socavación!$Q$18:$Q$30</c:f>
              <c:numCache>
                <c:formatCode>0.00</c:formatCode>
                <c:ptCount val="13"/>
                <c:pt idx="0">
                  <c:v>1065.71</c:v>
                </c:pt>
                <c:pt idx="1">
                  <c:v>1064.6199999999999</c:v>
                </c:pt>
                <c:pt idx="2">
                  <c:v>1063.4079999999999</c:v>
                </c:pt>
                <c:pt idx="3">
                  <c:v>1062.1959999999999</c:v>
                </c:pt>
                <c:pt idx="4">
                  <c:v>1058.8706098978398</c:v>
                </c:pt>
                <c:pt idx="5">
                  <c:v>1058.8385247722219</c:v>
                </c:pt>
                <c:pt idx="6">
                  <c:v>1058.296684036726</c:v>
                </c:pt>
                <c:pt idx="7">
                  <c:v>1057.9398250082834</c:v>
                </c:pt>
                <c:pt idx="8">
                  <c:v>1059.2429474543162</c:v>
                </c:pt>
                <c:pt idx="9">
                  <c:v>1060.4684519596342</c:v>
                </c:pt>
                <c:pt idx="10">
                  <c:v>1061.52</c:v>
                </c:pt>
                <c:pt idx="11">
                  <c:v>1061.71</c:v>
                </c:pt>
                <c:pt idx="12">
                  <c:v>1063.8699999999999</c:v>
                </c:pt>
              </c:numCache>
            </c:numRef>
          </c:yVal>
          <c:smooth val="1"/>
        </c:ser>
        <c:ser>
          <c:idx val="0"/>
          <c:order val="1"/>
          <c:xVal>
            <c:numRef>
              <c:f>Socavación!$B$18:$B$30</c:f>
              <c:numCache>
                <c:formatCode>General</c:formatCode>
                <c:ptCount val="13"/>
                <c:pt idx="0">
                  <c:v>40</c:v>
                </c:pt>
                <c:pt idx="1">
                  <c:v>50</c:v>
                </c:pt>
                <c:pt idx="2">
                  <c:v>53</c:v>
                </c:pt>
                <c:pt idx="3">
                  <c:v>56</c:v>
                </c:pt>
                <c:pt idx="4">
                  <c:v>60</c:v>
                </c:pt>
                <c:pt idx="5">
                  <c:v>63</c:v>
                </c:pt>
                <c:pt idx="6">
                  <c:v>66</c:v>
                </c:pt>
                <c:pt idx="7">
                  <c:v>70</c:v>
                </c:pt>
                <c:pt idx="8">
                  <c:v>73</c:v>
                </c:pt>
                <c:pt idx="9">
                  <c:v>76</c:v>
                </c:pt>
                <c:pt idx="10">
                  <c:v>80</c:v>
                </c:pt>
                <c:pt idx="11">
                  <c:v>90</c:v>
                </c:pt>
                <c:pt idx="12">
                  <c:v>100</c:v>
                </c:pt>
              </c:numCache>
            </c:numRef>
          </c:xVal>
          <c:yVal>
            <c:numRef>
              <c:f>Socavación!$C$18:$C$30</c:f>
              <c:numCache>
                <c:formatCode>General</c:formatCode>
                <c:ptCount val="13"/>
                <c:pt idx="0">
                  <c:v>1065.71</c:v>
                </c:pt>
                <c:pt idx="1">
                  <c:v>1064.6199999999999</c:v>
                </c:pt>
                <c:pt idx="2" formatCode="0.00">
                  <c:v>1063.4079999999999</c:v>
                </c:pt>
                <c:pt idx="3" formatCode="0.00">
                  <c:v>1062.1959999999999</c:v>
                </c:pt>
                <c:pt idx="4">
                  <c:v>1060.58</c:v>
                </c:pt>
                <c:pt idx="5" formatCode="0.00">
                  <c:v>1060.481</c:v>
                </c:pt>
                <c:pt idx="6" formatCode="0.00">
                  <c:v>1060.3820000000001</c:v>
                </c:pt>
                <c:pt idx="7">
                  <c:v>1060.25</c:v>
                </c:pt>
                <c:pt idx="8" formatCode="0.00">
                  <c:v>1060.6310000000001</c:v>
                </c:pt>
                <c:pt idx="9" formatCode="0.00">
                  <c:v>1061.0119999999999</c:v>
                </c:pt>
                <c:pt idx="10">
                  <c:v>1061.52</c:v>
                </c:pt>
                <c:pt idx="11">
                  <c:v>1061.71</c:v>
                </c:pt>
                <c:pt idx="12">
                  <c:v>1063.8699999999999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55296"/>
        <c:axId val="121657216"/>
      </c:scatterChart>
      <c:valAx>
        <c:axId val="121655296"/>
        <c:scaling>
          <c:orientation val="minMax"/>
          <c:max val="110"/>
          <c:min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Abscisa</a:t>
                </a:r>
                <a:r>
                  <a:rPr lang="es-EC" baseline="0"/>
                  <a:t> (m)</a:t>
                </a:r>
                <a:endParaRPr lang="es-EC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1657216"/>
        <c:crosses val="autoZero"/>
        <c:crossBetween val="midCat"/>
        <c:majorUnit val="10"/>
      </c:valAx>
      <c:valAx>
        <c:axId val="12165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C"/>
                  <a:t>Cota</a:t>
                </a:r>
                <a:r>
                  <a:rPr lang="es-EC" baseline="0"/>
                  <a:t> (m.s.n.m.)</a:t>
                </a:r>
                <a:endParaRPr lang="es-EC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1655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714375</xdr:colOff>
      <xdr:row>33</xdr:row>
      <xdr:rowOff>98821</xdr:rowOff>
    </xdr:from>
    <xdr:to>
      <xdr:col>19</xdr:col>
      <xdr:colOff>714375</xdr:colOff>
      <xdr:row>53</xdr:row>
      <xdr:rowOff>130968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71437</xdr:colOff>
      <xdr:row>54</xdr:row>
      <xdr:rowOff>178594</xdr:rowOff>
    </xdr:from>
    <xdr:to>
      <xdr:col>14</xdr:col>
      <xdr:colOff>666750</xdr:colOff>
      <xdr:row>82</xdr:row>
      <xdr:rowOff>95250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590550</xdr:colOff>
      <xdr:row>0</xdr:row>
      <xdr:rowOff>104775</xdr:rowOff>
    </xdr:from>
    <xdr:to>
      <xdr:col>39</xdr:col>
      <xdr:colOff>742950</xdr:colOff>
      <xdr:row>21</xdr:row>
      <xdr:rowOff>142875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02875" y="104775"/>
          <a:ext cx="7772400" cy="403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22</xdr:row>
      <xdr:rowOff>180975</xdr:rowOff>
    </xdr:from>
    <xdr:to>
      <xdr:col>7</xdr:col>
      <xdr:colOff>0</xdr:colOff>
      <xdr:row>27</xdr:row>
      <xdr:rowOff>38100</xdr:rowOff>
    </xdr:to>
    <xdr:cxnSp macro="">
      <xdr:nvCxnSpPr>
        <xdr:cNvPr id="2" name="1 Conector recto"/>
        <xdr:cNvCxnSpPr/>
      </xdr:nvCxnSpPr>
      <xdr:spPr>
        <a:xfrm>
          <a:off x="4591050" y="4562475"/>
          <a:ext cx="781050" cy="8096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752475</xdr:colOff>
      <xdr:row>23</xdr:row>
      <xdr:rowOff>19050</xdr:rowOff>
    </xdr:from>
    <xdr:to>
      <xdr:col>9</xdr:col>
      <xdr:colOff>742950</xdr:colOff>
      <xdr:row>27</xdr:row>
      <xdr:rowOff>28575</xdr:rowOff>
    </xdr:to>
    <xdr:cxnSp macro="">
      <xdr:nvCxnSpPr>
        <xdr:cNvPr id="3" name="2 Conector recto"/>
        <xdr:cNvCxnSpPr/>
      </xdr:nvCxnSpPr>
      <xdr:spPr>
        <a:xfrm flipV="1">
          <a:off x="5362575" y="4591050"/>
          <a:ext cx="2276475" cy="771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9525</xdr:colOff>
      <xdr:row>27</xdr:row>
      <xdr:rowOff>9525</xdr:rowOff>
    </xdr:to>
    <xdr:cxnSp macro="">
      <xdr:nvCxnSpPr>
        <xdr:cNvPr id="4" name="3 Conector recto"/>
        <xdr:cNvCxnSpPr/>
      </xdr:nvCxnSpPr>
      <xdr:spPr>
        <a:xfrm>
          <a:off x="5372100" y="4572000"/>
          <a:ext cx="9525" cy="771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34</xdr:row>
      <xdr:rowOff>180975</xdr:rowOff>
    </xdr:from>
    <xdr:to>
      <xdr:col>5</xdr:col>
      <xdr:colOff>666750</xdr:colOff>
      <xdr:row>43</xdr:row>
      <xdr:rowOff>104775</xdr:rowOff>
    </xdr:to>
    <xdr:cxnSp macro="">
      <xdr:nvCxnSpPr>
        <xdr:cNvPr id="5" name="Conector recto de flecha 3"/>
        <xdr:cNvCxnSpPr/>
      </xdr:nvCxnSpPr>
      <xdr:spPr>
        <a:xfrm flipH="1">
          <a:off x="3705225" y="7038975"/>
          <a:ext cx="914400" cy="18288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</xdr:colOff>
      <xdr:row>2</xdr:row>
      <xdr:rowOff>19050</xdr:rowOff>
    </xdr:from>
    <xdr:to>
      <xdr:col>4</xdr:col>
      <xdr:colOff>419100</xdr:colOff>
      <xdr:row>7</xdr:row>
      <xdr:rowOff>0</xdr:rowOff>
    </xdr:to>
    <xdr:cxnSp macro="">
      <xdr:nvCxnSpPr>
        <xdr:cNvPr id="7" name="Conector recto de flecha 6"/>
        <xdr:cNvCxnSpPr/>
      </xdr:nvCxnSpPr>
      <xdr:spPr>
        <a:xfrm flipH="1">
          <a:off x="3295650" y="400050"/>
          <a:ext cx="314325" cy="981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466725</xdr:colOff>
      <xdr:row>122</xdr:row>
      <xdr:rowOff>104775</xdr:rowOff>
    </xdr:from>
    <xdr:to>
      <xdr:col>14</xdr:col>
      <xdr:colOff>495300</xdr:colOff>
      <xdr:row>131</xdr:row>
      <xdr:rowOff>142875</xdr:rowOff>
    </xdr:to>
    <xdr:cxnSp macro="">
      <xdr:nvCxnSpPr>
        <xdr:cNvPr id="8" name="7 Conector recto de flecha"/>
        <xdr:cNvCxnSpPr/>
      </xdr:nvCxnSpPr>
      <xdr:spPr>
        <a:xfrm flipH="1">
          <a:off x="11839575" y="23917275"/>
          <a:ext cx="28575" cy="1752600"/>
        </a:xfrm>
        <a:prstGeom prst="straightConnector1">
          <a:avLst/>
        </a:prstGeom>
        <a:ln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552450</xdr:colOff>
      <xdr:row>47</xdr:row>
      <xdr:rowOff>142875</xdr:rowOff>
    </xdr:from>
    <xdr:to>
      <xdr:col>14</xdr:col>
      <xdr:colOff>561975</xdr:colOff>
      <xdr:row>57</xdr:row>
      <xdr:rowOff>19050</xdr:rowOff>
    </xdr:to>
    <xdr:cxnSp macro="">
      <xdr:nvCxnSpPr>
        <xdr:cNvPr id="9" name="8 Conector recto de flecha"/>
        <xdr:cNvCxnSpPr/>
      </xdr:nvCxnSpPr>
      <xdr:spPr>
        <a:xfrm>
          <a:off x="11925300" y="9667875"/>
          <a:ext cx="9525" cy="1781175"/>
        </a:xfrm>
        <a:prstGeom prst="straightConnector1">
          <a:avLst/>
        </a:prstGeom>
        <a:ln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752475</xdr:colOff>
      <xdr:row>25</xdr:row>
      <xdr:rowOff>19050</xdr:rowOff>
    </xdr:from>
    <xdr:to>
      <xdr:col>19</xdr:col>
      <xdr:colOff>742950</xdr:colOff>
      <xdr:row>29</xdr:row>
      <xdr:rowOff>28575</xdr:rowOff>
    </xdr:to>
    <xdr:cxnSp macro="">
      <xdr:nvCxnSpPr>
        <xdr:cNvPr id="11" name="10 Conector recto"/>
        <xdr:cNvCxnSpPr/>
      </xdr:nvCxnSpPr>
      <xdr:spPr>
        <a:xfrm flipV="1">
          <a:off x="5514975" y="4400550"/>
          <a:ext cx="2314575" cy="771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0</xdr:rowOff>
    </xdr:from>
    <xdr:to>
      <xdr:col>17</xdr:col>
      <xdr:colOff>9525</xdr:colOff>
      <xdr:row>29</xdr:row>
      <xdr:rowOff>9525</xdr:rowOff>
    </xdr:to>
    <xdr:cxnSp macro="">
      <xdr:nvCxnSpPr>
        <xdr:cNvPr id="12" name="11 Conector recto"/>
        <xdr:cNvCxnSpPr/>
      </xdr:nvCxnSpPr>
      <xdr:spPr>
        <a:xfrm>
          <a:off x="5562600" y="4381500"/>
          <a:ext cx="9525" cy="771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657224</xdr:colOff>
      <xdr:row>22</xdr:row>
      <xdr:rowOff>47625</xdr:rowOff>
    </xdr:from>
    <xdr:to>
      <xdr:col>20</xdr:col>
      <xdr:colOff>247649</xdr:colOff>
      <xdr:row>33</xdr:row>
      <xdr:rowOff>28575</xdr:rowOff>
    </xdr:to>
    <xdr:sp macro="" textlink="">
      <xdr:nvSpPr>
        <xdr:cNvPr id="6" name="5 Rectángulo"/>
        <xdr:cNvSpPr/>
      </xdr:nvSpPr>
      <xdr:spPr>
        <a:xfrm>
          <a:off x="9267824" y="4238625"/>
          <a:ext cx="7362825" cy="20764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555803</xdr:colOff>
      <xdr:row>1</xdr:row>
      <xdr:rowOff>38100</xdr:rowOff>
    </xdr:from>
    <xdr:to>
      <xdr:col>19</xdr:col>
      <xdr:colOff>543458</xdr:colOff>
      <xdr:row>5</xdr:row>
      <xdr:rowOff>20411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681" t="17710" r="47358" b="66012"/>
        <a:stretch/>
      </xdr:blipFill>
      <xdr:spPr>
        <a:xfrm>
          <a:off x="12242978" y="228600"/>
          <a:ext cx="1511655" cy="858611"/>
        </a:xfrm>
        <a:prstGeom prst="rect">
          <a:avLst/>
        </a:prstGeom>
      </xdr:spPr>
    </xdr:pic>
    <xdr:clientData/>
  </xdr:twoCellAnchor>
  <xdr:twoCellAnchor editAs="oneCell">
    <xdr:from>
      <xdr:col>35</xdr:col>
      <xdr:colOff>200026</xdr:colOff>
      <xdr:row>121</xdr:row>
      <xdr:rowOff>104775</xdr:rowOff>
    </xdr:from>
    <xdr:to>
      <xdr:col>43</xdr:col>
      <xdr:colOff>681718</xdr:colOff>
      <xdr:row>143</xdr:row>
      <xdr:rowOff>76200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161" t="19534" r="22684" b="23558"/>
        <a:stretch/>
      </xdr:blipFill>
      <xdr:spPr>
        <a:xfrm>
          <a:off x="25603201" y="23269575"/>
          <a:ext cx="6915150" cy="4162425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0</xdr:row>
      <xdr:rowOff>0</xdr:rowOff>
    </xdr:from>
    <xdr:to>
      <xdr:col>33</xdr:col>
      <xdr:colOff>171450</xdr:colOff>
      <xdr:row>4</xdr:row>
      <xdr:rowOff>109059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704" t="15757" r="45967" b="66403"/>
        <a:stretch/>
      </xdr:blipFill>
      <xdr:spPr>
        <a:xfrm>
          <a:off x="22136101" y="0"/>
          <a:ext cx="1914524" cy="985359"/>
        </a:xfrm>
        <a:prstGeom prst="rect">
          <a:avLst/>
        </a:prstGeom>
      </xdr:spPr>
    </xdr:pic>
    <xdr:clientData/>
  </xdr:twoCellAnchor>
  <xdr:twoCellAnchor editAs="oneCell">
    <xdr:from>
      <xdr:col>43</xdr:col>
      <xdr:colOff>50344</xdr:colOff>
      <xdr:row>121</xdr:row>
      <xdr:rowOff>84364</xdr:rowOff>
    </xdr:from>
    <xdr:to>
      <xdr:col>52</xdr:col>
      <xdr:colOff>530675</xdr:colOff>
      <xdr:row>150</xdr:row>
      <xdr:rowOff>8163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040" t="16799" r="23563" b="16787"/>
        <a:stretch/>
      </xdr:blipFill>
      <xdr:spPr>
        <a:xfrm>
          <a:off x="33454519" y="23249164"/>
          <a:ext cx="7800974" cy="5448299"/>
        </a:xfrm>
        <a:prstGeom prst="rect">
          <a:avLst/>
        </a:prstGeom>
      </xdr:spPr>
    </xdr:pic>
    <xdr:clientData/>
  </xdr:twoCellAnchor>
  <xdr:twoCellAnchor>
    <xdr:from>
      <xdr:col>5</xdr:col>
      <xdr:colOff>54428</xdr:colOff>
      <xdr:row>4</xdr:row>
      <xdr:rowOff>68036</xdr:rowOff>
    </xdr:from>
    <xdr:to>
      <xdr:col>5</xdr:col>
      <xdr:colOff>748393</xdr:colOff>
      <xdr:row>4</xdr:row>
      <xdr:rowOff>81643</xdr:rowOff>
    </xdr:to>
    <xdr:cxnSp macro="">
      <xdr:nvCxnSpPr>
        <xdr:cNvPr id="6" name="5 Conector recto de flecha"/>
        <xdr:cNvCxnSpPr/>
      </xdr:nvCxnSpPr>
      <xdr:spPr>
        <a:xfrm>
          <a:off x="2797628" y="944336"/>
          <a:ext cx="693965" cy="136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751114</xdr:colOff>
      <xdr:row>5</xdr:row>
      <xdr:rowOff>70757</xdr:rowOff>
    </xdr:from>
    <xdr:to>
      <xdr:col>5</xdr:col>
      <xdr:colOff>683079</xdr:colOff>
      <xdr:row>5</xdr:row>
      <xdr:rowOff>84364</xdr:rowOff>
    </xdr:to>
    <xdr:cxnSp macro="">
      <xdr:nvCxnSpPr>
        <xdr:cNvPr id="7" name="6 Conector recto de flecha"/>
        <xdr:cNvCxnSpPr/>
      </xdr:nvCxnSpPr>
      <xdr:spPr>
        <a:xfrm>
          <a:off x="2732314" y="1137557"/>
          <a:ext cx="693965" cy="136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23</xdr:row>
      <xdr:rowOff>147637</xdr:rowOff>
    </xdr:from>
    <xdr:to>
      <xdr:col>9</xdr:col>
      <xdr:colOff>28575</xdr:colOff>
      <xdr:row>38</xdr:row>
      <xdr:rowOff>33337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390525</xdr:colOff>
      <xdr:row>36</xdr:row>
      <xdr:rowOff>100012</xdr:rowOff>
    </xdr:from>
    <xdr:to>
      <xdr:col>18</xdr:col>
      <xdr:colOff>390525</xdr:colOff>
      <xdr:row>50</xdr:row>
      <xdr:rowOff>176212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24</xdr:col>
      <xdr:colOff>219075</xdr:colOff>
      <xdr:row>20</xdr:row>
      <xdr:rowOff>38100</xdr:rowOff>
    </xdr:to>
    <xdr:grpSp>
      <xdr:nvGrpSpPr>
        <xdr:cNvPr id="8" name="7 Grupo"/>
        <xdr:cNvGrpSpPr/>
      </xdr:nvGrpSpPr>
      <xdr:grpSpPr>
        <a:xfrm>
          <a:off x="12192000" y="0"/>
          <a:ext cx="6315075" cy="3848100"/>
          <a:chOff x="6438900" y="2257425"/>
          <a:chExt cx="6315075" cy="3848100"/>
        </a:xfrm>
      </xdr:grpSpPr>
      <xdr:pic>
        <xdr:nvPicPr>
          <xdr:cNvPr id="3" name="2 Imagen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28628" t="16148" r="22830" b="31241"/>
          <a:stretch/>
        </xdr:blipFill>
        <xdr:spPr>
          <a:xfrm>
            <a:off x="6438900" y="2257425"/>
            <a:ext cx="6315075" cy="3848100"/>
          </a:xfrm>
          <a:prstGeom prst="rect">
            <a:avLst/>
          </a:prstGeom>
        </xdr:spPr>
      </xdr:pic>
      <xdr:cxnSp macro="">
        <xdr:nvCxnSpPr>
          <xdr:cNvPr id="6" name="5 Conector recto"/>
          <xdr:cNvCxnSpPr/>
        </xdr:nvCxnSpPr>
        <xdr:spPr>
          <a:xfrm>
            <a:off x="7096125" y="6010275"/>
            <a:ext cx="5505450" cy="38100"/>
          </a:xfrm>
          <a:prstGeom prst="line">
            <a:avLst/>
          </a:prstGeom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7" name="6 Conector recto"/>
          <xdr:cNvCxnSpPr/>
        </xdr:nvCxnSpPr>
        <xdr:spPr>
          <a:xfrm>
            <a:off x="7077075" y="5829300"/>
            <a:ext cx="5505450" cy="38100"/>
          </a:xfrm>
          <a:prstGeom prst="line">
            <a:avLst/>
          </a:prstGeom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638175</xdr:colOff>
      <xdr:row>11</xdr:row>
      <xdr:rowOff>9525</xdr:rowOff>
    </xdr:from>
    <xdr:to>
      <xdr:col>14</xdr:col>
      <xdr:colOff>485775</xdr:colOff>
      <xdr:row>19</xdr:row>
      <xdr:rowOff>55563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7915275" y="2105025"/>
          <a:ext cx="4419600" cy="1570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pPr algn="just"/>
          <a:r>
            <a:rPr lang="pt-BR" sz="1600">
              <a:ea typeface="Times New Roman" pitchFamily="18" charset="0"/>
              <a:cs typeface="Arial" pitchFamily="34" charset="0"/>
            </a:rPr>
            <a:t>tr = 2,587. L</a:t>
          </a:r>
          <a:r>
            <a:rPr lang="pt-BR" sz="1600" baseline="30000">
              <a:ea typeface="Times New Roman" pitchFamily="18" charset="0"/>
              <a:cs typeface="Arial" pitchFamily="34" charset="0"/>
            </a:rPr>
            <a:t>0,8</a:t>
          </a:r>
          <a:r>
            <a:rPr lang="pt-BR" sz="1600">
              <a:ea typeface="Times New Roman" pitchFamily="18" charset="0"/>
              <a:cs typeface="Arial" pitchFamily="34" charset="0"/>
            </a:rPr>
            <a:t> (1 000/CN – 9)</a:t>
          </a:r>
          <a:r>
            <a:rPr lang="pt-BR" sz="1600" baseline="30000">
              <a:ea typeface="Times New Roman" pitchFamily="18" charset="0"/>
              <a:cs typeface="Arial" pitchFamily="34" charset="0"/>
            </a:rPr>
            <a:t>0,7</a:t>
          </a:r>
          <a:r>
            <a:rPr lang="pt-BR" sz="1600">
              <a:ea typeface="Times New Roman" pitchFamily="18" charset="0"/>
              <a:cs typeface="Arial" pitchFamily="34" charset="0"/>
            </a:rPr>
            <a:t> / (1 900 . H</a:t>
          </a:r>
          <a:r>
            <a:rPr lang="pt-BR" sz="1600" baseline="30000">
              <a:ea typeface="Times New Roman" pitchFamily="18" charset="0"/>
              <a:cs typeface="Arial" pitchFamily="34" charset="0"/>
            </a:rPr>
            <a:t>0,5</a:t>
          </a:r>
          <a:r>
            <a:rPr lang="pt-BR" sz="1600">
              <a:ea typeface="Times New Roman" pitchFamily="18" charset="0"/>
              <a:cs typeface="Arial" pitchFamily="34" charset="0"/>
            </a:rPr>
            <a:t>)</a:t>
          </a:r>
        </a:p>
        <a:p>
          <a:pPr algn="just"/>
          <a:endParaRPr lang="pt-BR" sz="1600">
            <a:ea typeface="Times New Roman" pitchFamily="18" charset="0"/>
            <a:cs typeface="Arial" pitchFamily="34" charset="0"/>
          </a:endParaRPr>
        </a:p>
        <a:p>
          <a:pPr algn="just"/>
          <a:r>
            <a:rPr lang="pt-BR" sz="1600">
              <a:ea typeface="Times New Roman" pitchFamily="18" charset="0"/>
              <a:cs typeface="Arial" pitchFamily="34" charset="0"/>
            </a:rPr>
            <a:t>Tr.- Tiempo de retardo (h)</a:t>
          </a:r>
          <a:endParaRPr lang="es-ES" sz="1600">
            <a:ea typeface="Times New Roman" pitchFamily="18" charset="0"/>
            <a:cs typeface="Arial" pitchFamily="34" charset="0"/>
          </a:endParaRPr>
        </a:p>
        <a:p>
          <a:pPr algn="just" eaLnBrk="0" hangingPunct="0"/>
          <a:r>
            <a:rPr lang="es-EC" sz="1600">
              <a:ea typeface="Times New Roman" pitchFamily="18" charset="0"/>
              <a:cs typeface="Arial" pitchFamily="34" charset="0"/>
            </a:rPr>
            <a:t>L: Longitud del cauce del río (m)</a:t>
          </a:r>
          <a:endParaRPr lang="es-ES" sz="1600">
            <a:ea typeface="Times New Roman" pitchFamily="18" charset="0"/>
            <a:cs typeface="Arial" pitchFamily="34" charset="0"/>
          </a:endParaRPr>
        </a:p>
        <a:p>
          <a:pPr algn="just" eaLnBrk="0" hangingPunct="0"/>
          <a:r>
            <a:rPr lang="es-EC" sz="1600">
              <a:ea typeface="Times New Roman" pitchFamily="18" charset="0"/>
              <a:cs typeface="Arial" pitchFamily="34" charset="0"/>
            </a:rPr>
            <a:t>CN: Numero de curva debido al escurrimiento</a:t>
          </a:r>
          <a:endParaRPr lang="es-ES" sz="1600">
            <a:ea typeface="Times New Roman" pitchFamily="18" charset="0"/>
            <a:cs typeface="Arial" pitchFamily="34" charset="0"/>
          </a:endParaRPr>
        </a:p>
        <a:p>
          <a:pPr algn="just" eaLnBrk="0" hangingPunct="0"/>
          <a:r>
            <a:rPr lang="es-EC" sz="1600">
              <a:ea typeface="Times New Roman" pitchFamily="18" charset="0"/>
              <a:cs typeface="Arial" pitchFamily="34" charset="0"/>
            </a:rPr>
            <a:t>H: Pendiente media de la cuenca (%)</a:t>
          </a:r>
        </a:p>
      </xdr:txBody>
    </xdr:sp>
    <xdr:clientData/>
  </xdr:twoCellAnchor>
  <xdr:twoCellAnchor>
    <xdr:from>
      <xdr:col>9</xdr:col>
      <xdr:colOff>304800</xdr:colOff>
      <xdr:row>6</xdr:row>
      <xdr:rowOff>28575</xdr:rowOff>
    </xdr:from>
    <xdr:to>
      <xdr:col>13</xdr:col>
      <xdr:colOff>169863</xdr:colOff>
      <xdr:row>8</xdr:row>
      <xdr:rowOff>47625</xdr:rowOff>
    </xdr:to>
    <xdr:sp macro="" textlink="">
      <xdr:nvSpPr>
        <xdr:cNvPr id="3" name="10 Rectángulo"/>
        <xdr:cNvSpPr>
          <a:spLocks noChangeArrowheads="1"/>
        </xdr:cNvSpPr>
      </xdr:nvSpPr>
      <xdr:spPr bwMode="auto">
        <a:xfrm>
          <a:off x="8343900" y="1171575"/>
          <a:ext cx="2913063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pPr algn="ctr"/>
          <a:r>
            <a:rPr lang="pt-BR"/>
            <a:t>Tc</a:t>
          </a:r>
          <a:r>
            <a:rPr lang="pt-BR" baseline="30000"/>
            <a:t> </a:t>
          </a:r>
          <a:r>
            <a:rPr lang="pt-BR"/>
            <a:t>= 0,0195 ( L</a:t>
          </a:r>
          <a:r>
            <a:rPr lang="pt-BR" baseline="30000"/>
            <a:t>3 </a:t>
          </a:r>
          <a:r>
            <a:rPr lang="pt-BR"/>
            <a:t>/ H )</a:t>
          </a:r>
          <a:r>
            <a:rPr lang="pt-BR" baseline="30000"/>
            <a:t>0.385</a:t>
          </a:r>
          <a:endParaRPr lang="pt-BR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7</xdr:row>
      <xdr:rowOff>104775</xdr:rowOff>
    </xdr:from>
    <xdr:to>
      <xdr:col>5</xdr:col>
      <xdr:colOff>609600</xdr:colOff>
      <xdr:row>7</xdr:row>
      <xdr:rowOff>104775</xdr:rowOff>
    </xdr:to>
    <xdr:cxnSp macro="">
      <xdr:nvCxnSpPr>
        <xdr:cNvPr id="3" name="2 Conector recto de flecha"/>
        <xdr:cNvCxnSpPr/>
      </xdr:nvCxnSpPr>
      <xdr:spPr>
        <a:xfrm>
          <a:off x="3876675" y="1247775"/>
          <a:ext cx="5429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23812</xdr:colOff>
      <xdr:row>7</xdr:row>
      <xdr:rowOff>35718</xdr:rowOff>
    </xdr:from>
    <xdr:to>
      <xdr:col>11</xdr:col>
      <xdr:colOff>26601</xdr:colOff>
      <xdr:row>10</xdr:row>
      <xdr:rowOff>47625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343" y="1369218"/>
          <a:ext cx="1526789" cy="58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1</xdr:row>
      <xdr:rowOff>116681</xdr:rowOff>
    </xdr:from>
    <xdr:to>
      <xdr:col>4</xdr:col>
      <xdr:colOff>704850</xdr:colOff>
      <xdr:row>1</xdr:row>
      <xdr:rowOff>116681</xdr:rowOff>
    </xdr:to>
    <xdr:cxnSp macro="">
      <xdr:nvCxnSpPr>
        <xdr:cNvPr id="8" name="7 Conector recto de flecha"/>
        <xdr:cNvCxnSpPr/>
      </xdr:nvCxnSpPr>
      <xdr:spPr>
        <a:xfrm>
          <a:off x="3269456" y="307181"/>
          <a:ext cx="5429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4</xdr:row>
      <xdr:rowOff>126206</xdr:rowOff>
    </xdr:from>
    <xdr:to>
      <xdr:col>3</xdr:col>
      <xdr:colOff>714375</xdr:colOff>
      <xdr:row>4</xdr:row>
      <xdr:rowOff>126206</xdr:rowOff>
    </xdr:to>
    <xdr:cxnSp macro="">
      <xdr:nvCxnSpPr>
        <xdr:cNvPr id="9" name="8 Conector recto de flecha"/>
        <xdr:cNvCxnSpPr/>
      </xdr:nvCxnSpPr>
      <xdr:spPr>
        <a:xfrm>
          <a:off x="2457450" y="888206"/>
          <a:ext cx="5429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761999</xdr:colOff>
      <xdr:row>3</xdr:row>
      <xdr:rowOff>107156</xdr:rowOff>
    </xdr:from>
    <xdr:to>
      <xdr:col>10</xdr:col>
      <xdr:colOff>438151</xdr:colOff>
      <xdr:row>5</xdr:row>
      <xdr:rowOff>83344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7530" y="678656"/>
          <a:ext cx="1200152" cy="357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83345</xdr:colOff>
      <xdr:row>37</xdr:row>
      <xdr:rowOff>134539</xdr:rowOff>
    </xdr:from>
    <xdr:to>
      <xdr:col>11</xdr:col>
      <xdr:colOff>166688</xdr:colOff>
      <xdr:row>56</xdr:row>
      <xdr:rowOff>71436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1028700</xdr:colOff>
      <xdr:row>24</xdr:row>
      <xdr:rowOff>66675</xdr:rowOff>
    </xdr:from>
    <xdr:to>
      <xdr:col>5</xdr:col>
      <xdr:colOff>828675</xdr:colOff>
      <xdr:row>25</xdr:row>
      <xdr:rowOff>66675</xdr:rowOff>
    </xdr:to>
    <xdr:cxnSp macro="">
      <xdr:nvCxnSpPr>
        <xdr:cNvPr id="3" name="2 Conector recto de flecha"/>
        <xdr:cNvCxnSpPr/>
      </xdr:nvCxnSpPr>
      <xdr:spPr>
        <a:xfrm>
          <a:off x="2552700" y="4638675"/>
          <a:ext cx="245745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609600</xdr:colOff>
      <xdr:row>41</xdr:row>
      <xdr:rowOff>28575</xdr:rowOff>
    </xdr:from>
    <xdr:to>
      <xdr:col>6</xdr:col>
      <xdr:colOff>609600</xdr:colOff>
      <xdr:row>46</xdr:row>
      <xdr:rowOff>104775</xdr:rowOff>
    </xdr:to>
    <xdr:cxnSp macro="">
      <xdr:nvCxnSpPr>
        <xdr:cNvPr id="4" name="3 Conector recto de flecha"/>
        <xdr:cNvCxnSpPr/>
      </xdr:nvCxnSpPr>
      <xdr:spPr>
        <a:xfrm>
          <a:off x="5657850" y="7839075"/>
          <a:ext cx="0" cy="10287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91</xdr:col>
      <xdr:colOff>257175</xdr:colOff>
      <xdr:row>1</xdr:row>
      <xdr:rowOff>19050</xdr:rowOff>
    </xdr:from>
    <xdr:to>
      <xdr:col>91</xdr:col>
      <xdr:colOff>266700</xdr:colOff>
      <xdr:row>2</xdr:row>
      <xdr:rowOff>66675</xdr:rowOff>
    </xdr:to>
    <xdr:cxnSp macro="">
      <xdr:nvCxnSpPr>
        <xdr:cNvPr id="7" name="6 Conector recto"/>
        <xdr:cNvCxnSpPr/>
      </xdr:nvCxnSpPr>
      <xdr:spPr>
        <a:xfrm>
          <a:off x="71227950" y="209550"/>
          <a:ext cx="9525" cy="23812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276225</xdr:colOff>
      <xdr:row>2</xdr:row>
      <xdr:rowOff>76200</xdr:rowOff>
    </xdr:from>
    <xdr:to>
      <xdr:col>92</xdr:col>
      <xdr:colOff>9525</xdr:colOff>
      <xdr:row>2</xdr:row>
      <xdr:rowOff>85725</xdr:rowOff>
    </xdr:to>
    <xdr:cxnSp macro="">
      <xdr:nvCxnSpPr>
        <xdr:cNvPr id="9" name="8 Conector recto"/>
        <xdr:cNvCxnSpPr/>
      </xdr:nvCxnSpPr>
      <xdr:spPr>
        <a:xfrm>
          <a:off x="71247000" y="457200"/>
          <a:ext cx="495300" cy="9525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19050</xdr:colOff>
      <xdr:row>0</xdr:row>
      <xdr:rowOff>85725</xdr:rowOff>
    </xdr:from>
    <xdr:to>
      <xdr:col>92</xdr:col>
      <xdr:colOff>19050</xdr:colOff>
      <xdr:row>2</xdr:row>
      <xdr:rowOff>66675</xdr:rowOff>
    </xdr:to>
    <xdr:cxnSp macro="">
      <xdr:nvCxnSpPr>
        <xdr:cNvPr id="11" name="10 Conector recto"/>
        <xdr:cNvCxnSpPr/>
      </xdr:nvCxnSpPr>
      <xdr:spPr>
        <a:xfrm flipV="1">
          <a:off x="71751825" y="85725"/>
          <a:ext cx="0" cy="36195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0"/>
  <sheetViews>
    <sheetView workbookViewId="0">
      <selection activeCell="C4" sqref="C4"/>
    </sheetView>
  </sheetViews>
  <sheetFormatPr baseColWidth="10" defaultRowHeight="15" x14ac:dyDescent="0.25"/>
  <cols>
    <col min="3" max="3" width="12.140625" customWidth="1"/>
  </cols>
  <sheetData>
    <row r="3" spans="2:8" x14ac:dyDescent="0.25">
      <c r="B3" s="4" t="s">
        <v>295</v>
      </c>
    </row>
    <row r="6" spans="2:8" x14ac:dyDescent="0.25">
      <c r="C6" s="3" t="s">
        <v>7</v>
      </c>
      <c r="D6" s="214" t="s">
        <v>8</v>
      </c>
      <c r="E6" s="214"/>
      <c r="F6" s="214" t="s">
        <v>9</v>
      </c>
      <c r="G6" s="214"/>
      <c r="H6" s="214"/>
    </row>
    <row r="7" spans="2:8" x14ac:dyDescent="0.25">
      <c r="C7" s="212">
        <v>9</v>
      </c>
      <c r="D7" s="213" t="s">
        <v>22</v>
      </c>
      <c r="E7" s="213"/>
      <c r="F7" s="213" t="s">
        <v>19</v>
      </c>
      <c r="G7" s="213"/>
      <c r="H7" s="213"/>
    </row>
    <row r="8" spans="2:8" x14ac:dyDescent="0.25">
      <c r="C8" s="212"/>
      <c r="D8" s="213" t="s">
        <v>21</v>
      </c>
      <c r="E8" s="213"/>
      <c r="F8" s="213" t="s">
        <v>20</v>
      </c>
      <c r="G8" s="213"/>
      <c r="H8" s="213"/>
    </row>
    <row r="10" spans="2:8" x14ac:dyDescent="0.25">
      <c r="C10" s="16" t="s">
        <v>7</v>
      </c>
      <c r="D10" s="214" t="s">
        <v>8</v>
      </c>
      <c r="E10" s="214"/>
      <c r="F10" s="214" t="s">
        <v>9</v>
      </c>
      <c r="G10" s="214"/>
      <c r="H10" s="214"/>
    </row>
    <row r="11" spans="2:8" x14ac:dyDescent="0.25">
      <c r="C11" s="212">
        <v>11</v>
      </c>
      <c r="D11" s="213" t="s">
        <v>39</v>
      </c>
      <c r="E11" s="213"/>
      <c r="F11" s="213" t="s">
        <v>41</v>
      </c>
      <c r="G11" s="213"/>
      <c r="H11" s="213"/>
    </row>
    <row r="12" spans="2:8" x14ac:dyDescent="0.25">
      <c r="C12" s="212"/>
      <c r="D12" s="213" t="s">
        <v>40</v>
      </c>
      <c r="E12" s="213"/>
      <c r="F12" s="213" t="s">
        <v>42</v>
      </c>
      <c r="G12" s="213"/>
      <c r="H12" s="213"/>
    </row>
    <row r="14" spans="2:8" x14ac:dyDescent="0.25">
      <c r="B14" s="16" t="s">
        <v>28</v>
      </c>
      <c r="C14" s="16" t="s">
        <v>27</v>
      </c>
      <c r="D14" s="214" t="s">
        <v>8</v>
      </c>
      <c r="E14" s="214"/>
      <c r="F14" s="214" t="s">
        <v>9</v>
      </c>
      <c r="G14" s="214"/>
      <c r="H14" s="214"/>
    </row>
    <row r="15" spans="2:8" x14ac:dyDescent="0.25">
      <c r="B15" s="215" t="s">
        <v>29</v>
      </c>
      <c r="C15" s="212" t="s">
        <v>17</v>
      </c>
      <c r="D15" s="213" t="s">
        <v>30</v>
      </c>
      <c r="E15" s="213"/>
      <c r="F15" s="213" t="s">
        <v>32</v>
      </c>
      <c r="G15" s="213"/>
      <c r="H15" s="213"/>
    </row>
    <row r="16" spans="2:8" x14ac:dyDescent="0.25">
      <c r="B16" s="216"/>
      <c r="C16" s="212"/>
      <c r="D16" s="213" t="s">
        <v>31</v>
      </c>
      <c r="E16" s="213"/>
      <c r="F16" s="213" t="s">
        <v>33</v>
      </c>
      <c r="G16" s="213"/>
      <c r="H16" s="213"/>
    </row>
    <row r="18" spans="2:8" x14ac:dyDescent="0.25">
      <c r="B18" s="16" t="s">
        <v>28</v>
      </c>
      <c r="C18" s="16" t="s">
        <v>27</v>
      </c>
      <c r="D18" s="214" t="s">
        <v>8</v>
      </c>
      <c r="E18" s="214"/>
      <c r="F18" s="214" t="s">
        <v>9</v>
      </c>
      <c r="G18" s="214"/>
      <c r="H18" s="214"/>
    </row>
    <row r="19" spans="2:8" x14ac:dyDescent="0.25">
      <c r="B19" s="215" t="s">
        <v>34</v>
      </c>
      <c r="C19" s="212" t="s">
        <v>16</v>
      </c>
      <c r="D19" s="213" t="s">
        <v>35</v>
      </c>
      <c r="E19" s="213"/>
      <c r="F19" s="213" t="s">
        <v>37</v>
      </c>
      <c r="G19" s="213"/>
      <c r="H19" s="213"/>
    </row>
    <row r="20" spans="2:8" x14ac:dyDescent="0.25">
      <c r="B20" s="216"/>
      <c r="C20" s="212"/>
      <c r="D20" s="213" t="s">
        <v>36</v>
      </c>
      <c r="E20" s="213"/>
      <c r="F20" s="213" t="s">
        <v>38</v>
      </c>
      <c r="G20" s="213"/>
      <c r="H20" s="213"/>
    </row>
  </sheetData>
  <mergeCells count="30">
    <mergeCell ref="D10:E10"/>
    <mergeCell ref="F10:H10"/>
    <mergeCell ref="C11:C12"/>
    <mergeCell ref="D11:E11"/>
    <mergeCell ref="F11:H11"/>
    <mergeCell ref="D12:E12"/>
    <mergeCell ref="F12:H12"/>
    <mergeCell ref="B15:B16"/>
    <mergeCell ref="D18:E18"/>
    <mergeCell ref="F18:H18"/>
    <mergeCell ref="B19:B20"/>
    <mergeCell ref="C19:C20"/>
    <mergeCell ref="D19:E19"/>
    <mergeCell ref="F19:H19"/>
    <mergeCell ref="D20:E20"/>
    <mergeCell ref="F20:H20"/>
    <mergeCell ref="D14:E14"/>
    <mergeCell ref="F14:H14"/>
    <mergeCell ref="C15:C16"/>
    <mergeCell ref="D15:E15"/>
    <mergeCell ref="F15:H15"/>
    <mergeCell ref="D16:E16"/>
    <mergeCell ref="F16:H16"/>
    <mergeCell ref="C7:C8"/>
    <mergeCell ref="D7:E7"/>
    <mergeCell ref="D8:E8"/>
    <mergeCell ref="D6:E6"/>
    <mergeCell ref="F7:H7"/>
    <mergeCell ref="F8:H8"/>
    <mergeCell ref="F6:H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5"/>
  <sheetViews>
    <sheetView topLeftCell="A10" zoomScale="80" zoomScaleNormal="80" workbookViewId="0">
      <selection activeCell="L25" sqref="L25"/>
    </sheetView>
  </sheetViews>
  <sheetFormatPr baseColWidth="10" defaultRowHeight="15" x14ac:dyDescent="0.25"/>
  <sheetData>
    <row r="3" spans="2:22" x14ac:dyDescent="0.25">
      <c r="B3" s="4" t="s">
        <v>267</v>
      </c>
    </row>
    <row r="5" spans="2:22" x14ac:dyDescent="0.25">
      <c r="C5" t="s">
        <v>268</v>
      </c>
      <c r="F5" t="s">
        <v>270</v>
      </c>
      <c r="I5" t="s">
        <v>271</v>
      </c>
      <c r="L5" t="s">
        <v>272</v>
      </c>
      <c r="O5" t="s">
        <v>273</v>
      </c>
      <c r="R5" t="s">
        <v>274</v>
      </c>
      <c r="U5" t="s">
        <v>275</v>
      </c>
    </row>
    <row r="7" spans="2:22" x14ac:dyDescent="0.25">
      <c r="C7" s="145" t="s">
        <v>121</v>
      </c>
      <c r="D7" s="145" t="s">
        <v>269</v>
      </c>
      <c r="F7" s="145" t="s">
        <v>121</v>
      </c>
      <c r="G7" s="145" t="s">
        <v>269</v>
      </c>
      <c r="I7" s="145" t="s">
        <v>121</v>
      </c>
      <c r="J7" s="145" t="s">
        <v>269</v>
      </c>
      <c r="L7" s="145" t="s">
        <v>121</v>
      </c>
      <c r="M7" s="145" t="s">
        <v>269</v>
      </c>
      <c r="O7" s="145" t="s">
        <v>121</v>
      </c>
      <c r="P7" s="145" t="s">
        <v>269</v>
      </c>
      <c r="R7" s="145" t="s">
        <v>121</v>
      </c>
      <c r="S7" s="145" t="s">
        <v>269</v>
      </c>
      <c r="U7" s="145" t="s">
        <v>121</v>
      </c>
      <c r="V7" s="145" t="s">
        <v>269</v>
      </c>
    </row>
    <row r="8" spans="2:22" x14ac:dyDescent="0.25">
      <c r="C8" s="145">
        <v>10</v>
      </c>
      <c r="D8" s="145">
        <v>1067.5999999999999</v>
      </c>
      <c r="F8" s="145">
        <v>10</v>
      </c>
      <c r="G8" s="145">
        <v>1068.6600000000001</v>
      </c>
      <c r="I8" s="145">
        <v>10</v>
      </c>
      <c r="J8" s="145">
        <v>1070.33</v>
      </c>
      <c r="L8" s="145">
        <v>10</v>
      </c>
      <c r="M8" s="145">
        <v>1070.1099999999999</v>
      </c>
      <c r="O8" s="145">
        <v>10</v>
      </c>
      <c r="P8" s="145">
        <v>1072.6099999999999</v>
      </c>
      <c r="R8" s="145">
        <v>10</v>
      </c>
      <c r="S8" s="145">
        <v>1077.75</v>
      </c>
      <c r="U8" s="145">
        <v>10</v>
      </c>
      <c r="V8" s="145">
        <v>1080.23</v>
      </c>
    </row>
    <row r="9" spans="2:22" x14ac:dyDescent="0.25">
      <c r="C9" s="145">
        <v>20</v>
      </c>
      <c r="D9" s="145">
        <v>1065.08</v>
      </c>
      <c r="F9" s="145">
        <v>20</v>
      </c>
      <c r="G9" s="145">
        <v>1065.3399999999999</v>
      </c>
      <c r="I9" s="145">
        <v>20</v>
      </c>
      <c r="J9" s="145">
        <v>1066.6600000000001</v>
      </c>
      <c r="L9" s="145">
        <v>20</v>
      </c>
      <c r="M9" s="145">
        <v>1066.81</v>
      </c>
      <c r="O9" s="145">
        <v>20</v>
      </c>
      <c r="P9" s="145">
        <v>1070.69</v>
      </c>
      <c r="R9" s="145">
        <v>20</v>
      </c>
      <c r="S9" s="145">
        <v>1075.6400000000001</v>
      </c>
      <c r="U9" s="145">
        <v>20</v>
      </c>
      <c r="V9" s="145">
        <v>1078.19</v>
      </c>
    </row>
    <row r="10" spans="2:22" x14ac:dyDescent="0.25">
      <c r="C10" s="145">
        <v>30</v>
      </c>
      <c r="D10" s="145">
        <v>1063.75</v>
      </c>
      <c r="F10" s="145">
        <v>30</v>
      </c>
      <c r="G10" s="145">
        <v>1063.8699999999999</v>
      </c>
      <c r="I10" s="145">
        <v>30</v>
      </c>
      <c r="J10" s="145">
        <v>1065.81</v>
      </c>
      <c r="L10" s="145">
        <v>30</v>
      </c>
      <c r="M10" s="145">
        <v>1066.3499999999999</v>
      </c>
      <c r="O10" s="145">
        <v>30</v>
      </c>
      <c r="P10" s="145">
        <v>1068.3</v>
      </c>
      <c r="R10" s="145">
        <v>30</v>
      </c>
      <c r="S10" s="145">
        <v>1073.57</v>
      </c>
      <c r="U10" s="145">
        <v>30</v>
      </c>
      <c r="V10" s="145">
        <v>1076.1500000000001</v>
      </c>
    </row>
    <row r="11" spans="2:22" x14ac:dyDescent="0.25">
      <c r="C11" s="145">
        <v>40</v>
      </c>
      <c r="D11" s="145">
        <v>1062.27</v>
      </c>
      <c r="F11" s="145">
        <v>40</v>
      </c>
      <c r="G11" s="145">
        <v>1063.72</v>
      </c>
      <c r="I11" s="145">
        <v>40</v>
      </c>
      <c r="J11" s="145">
        <v>1065.71</v>
      </c>
      <c r="L11" s="145">
        <v>40</v>
      </c>
      <c r="M11" s="145">
        <v>1066.26</v>
      </c>
      <c r="O11" s="145">
        <v>40</v>
      </c>
      <c r="P11" s="145">
        <v>1066.67</v>
      </c>
      <c r="R11" s="145">
        <v>40</v>
      </c>
      <c r="S11" s="145">
        <v>1071.49</v>
      </c>
      <c r="U11" s="145">
        <v>40</v>
      </c>
      <c r="V11" s="145">
        <v>1074.0999999999999</v>
      </c>
    </row>
    <row r="12" spans="2:22" x14ac:dyDescent="0.25">
      <c r="C12" s="145">
        <v>50</v>
      </c>
      <c r="D12" s="145">
        <v>1061.3900000000001</v>
      </c>
      <c r="F12" s="145">
        <v>50</v>
      </c>
      <c r="G12" s="145">
        <v>1063.51</v>
      </c>
      <c r="I12" s="145">
        <v>50</v>
      </c>
      <c r="J12" s="145">
        <v>1064.6199999999999</v>
      </c>
      <c r="L12" s="145">
        <v>50</v>
      </c>
      <c r="M12" s="145">
        <v>1063.74</v>
      </c>
      <c r="O12" s="145">
        <v>50</v>
      </c>
      <c r="P12" s="145">
        <v>1065.94</v>
      </c>
      <c r="R12" s="145">
        <v>50</v>
      </c>
      <c r="S12" s="145">
        <v>1069.3599999999999</v>
      </c>
      <c r="U12" s="145">
        <v>50</v>
      </c>
      <c r="V12" s="145">
        <v>1072.03</v>
      </c>
    </row>
    <row r="13" spans="2:22" x14ac:dyDescent="0.25">
      <c r="C13" s="145">
        <v>60</v>
      </c>
      <c r="D13" s="145">
        <v>1059.6500000000001</v>
      </c>
      <c r="F13" s="145">
        <v>60</v>
      </c>
      <c r="G13" s="145">
        <v>1060.52</v>
      </c>
      <c r="I13" s="145">
        <v>60</v>
      </c>
      <c r="J13" s="145">
        <v>1060.58</v>
      </c>
      <c r="L13" s="145">
        <v>60</v>
      </c>
      <c r="M13" s="145">
        <v>1061.8499999999999</v>
      </c>
      <c r="O13" s="145">
        <v>60</v>
      </c>
      <c r="P13" s="145">
        <v>1064.49</v>
      </c>
      <c r="R13" s="145">
        <v>60</v>
      </c>
      <c r="S13" s="145">
        <v>1067.6300000000001</v>
      </c>
      <c r="U13" s="145">
        <v>60</v>
      </c>
      <c r="V13" s="145">
        <v>1069.9100000000001</v>
      </c>
    </row>
    <row r="14" spans="2:22" x14ac:dyDescent="0.25">
      <c r="C14" s="145">
        <v>70</v>
      </c>
      <c r="D14" s="145">
        <v>1059</v>
      </c>
      <c r="F14" s="145">
        <v>70</v>
      </c>
      <c r="G14" s="145">
        <v>1059.0999999999999</v>
      </c>
      <c r="I14" s="145">
        <v>70</v>
      </c>
      <c r="J14" s="145">
        <v>1060.25</v>
      </c>
      <c r="L14" s="145">
        <v>70</v>
      </c>
      <c r="M14" s="145">
        <v>1062.08</v>
      </c>
      <c r="O14" s="145">
        <v>70</v>
      </c>
      <c r="P14" s="145">
        <v>1063.98</v>
      </c>
      <c r="R14" s="145">
        <v>70</v>
      </c>
      <c r="S14" s="145">
        <v>1066.92</v>
      </c>
      <c r="U14" s="145">
        <v>70</v>
      </c>
      <c r="V14" s="145">
        <v>1068.03</v>
      </c>
    </row>
    <row r="15" spans="2:22" x14ac:dyDescent="0.25">
      <c r="C15" s="145">
        <v>80</v>
      </c>
      <c r="D15" s="145">
        <v>1059</v>
      </c>
      <c r="F15" s="145">
        <v>80</v>
      </c>
      <c r="G15" s="145">
        <v>1060.02</v>
      </c>
      <c r="I15" s="145">
        <v>80</v>
      </c>
      <c r="J15" s="145">
        <v>1061.52</v>
      </c>
      <c r="L15" s="145">
        <v>80</v>
      </c>
      <c r="M15" s="145">
        <v>1063</v>
      </c>
      <c r="O15" s="145">
        <v>80</v>
      </c>
      <c r="P15" s="145">
        <v>1064.0899999999999</v>
      </c>
      <c r="R15" s="145">
        <v>80</v>
      </c>
      <c r="S15" s="145">
        <v>1065.9000000000001</v>
      </c>
      <c r="U15" s="145">
        <v>80</v>
      </c>
      <c r="V15" s="145">
        <v>1066.5899999999999</v>
      </c>
    </row>
    <row r="16" spans="2:22" x14ac:dyDescent="0.25">
      <c r="C16" s="145">
        <v>90</v>
      </c>
      <c r="D16" s="145">
        <v>1059.3</v>
      </c>
      <c r="F16" s="145">
        <v>90</v>
      </c>
      <c r="G16" s="145">
        <v>1060.73</v>
      </c>
      <c r="I16" s="145">
        <v>90</v>
      </c>
      <c r="J16" s="145">
        <v>1061.71</v>
      </c>
      <c r="L16" s="145">
        <v>90</v>
      </c>
      <c r="M16" s="145">
        <v>1064.7</v>
      </c>
      <c r="O16" s="145">
        <v>90</v>
      </c>
      <c r="P16" s="145">
        <v>1064.52</v>
      </c>
      <c r="R16" s="145">
        <v>90</v>
      </c>
      <c r="S16" s="145">
        <v>1065.08</v>
      </c>
      <c r="U16" s="145">
        <v>90</v>
      </c>
      <c r="V16" s="145">
        <v>1066.83</v>
      </c>
    </row>
    <row r="17" spans="3:22" x14ac:dyDescent="0.25">
      <c r="C17" s="145">
        <v>100</v>
      </c>
      <c r="D17" s="145">
        <v>1061.17</v>
      </c>
      <c r="F17" s="145">
        <v>100</v>
      </c>
      <c r="G17" s="145">
        <v>1062.23</v>
      </c>
      <c r="I17" s="145">
        <v>100</v>
      </c>
      <c r="J17" s="145">
        <v>1063.8699999999999</v>
      </c>
      <c r="L17" s="145">
        <v>100</v>
      </c>
      <c r="M17" s="145">
        <v>1065.5999999999999</v>
      </c>
      <c r="O17" s="145">
        <v>100</v>
      </c>
      <c r="P17" s="145">
        <v>1066.54</v>
      </c>
      <c r="R17" s="145">
        <v>100</v>
      </c>
      <c r="S17" s="145">
        <v>1065.8699999999999</v>
      </c>
      <c r="U17" s="145">
        <v>100</v>
      </c>
      <c r="V17" s="145">
        <v>1068.58</v>
      </c>
    </row>
    <row r="18" spans="3:22" x14ac:dyDescent="0.25">
      <c r="C18" s="145">
        <v>110</v>
      </c>
      <c r="D18" s="145">
        <v>1062.79</v>
      </c>
      <c r="F18" s="145">
        <v>110</v>
      </c>
      <c r="G18" s="145">
        <v>1064.47</v>
      </c>
      <c r="I18" s="145">
        <v>110</v>
      </c>
      <c r="J18" s="145">
        <v>1065.56</v>
      </c>
      <c r="L18" s="145">
        <v>110</v>
      </c>
      <c r="M18" s="145">
        <v>1066.05</v>
      </c>
      <c r="O18" s="145">
        <v>110</v>
      </c>
      <c r="P18" s="145">
        <v>1067.05</v>
      </c>
      <c r="R18" s="145">
        <v>110</v>
      </c>
      <c r="S18" s="145">
        <v>1067.69</v>
      </c>
      <c r="U18" s="145">
        <v>110</v>
      </c>
      <c r="V18" s="145">
        <v>1070.3599999999999</v>
      </c>
    </row>
    <row r="19" spans="3:22" x14ac:dyDescent="0.25">
      <c r="C19" s="145">
        <v>120</v>
      </c>
      <c r="D19" s="145">
        <v>1064.8800000000001</v>
      </c>
      <c r="F19" s="145">
        <v>120</v>
      </c>
      <c r="G19" s="145">
        <v>1066.93</v>
      </c>
      <c r="I19" s="145">
        <v>120</v>
      </c>
      <c r="J19" s="145">
        <v>1066.97</v>
      </c>
      <c r="L19" s="145">
        <v>120</v>
      </c>
      <c r="M19" s="145">
        <v>1066.56</v>
      </c>
      <c r="O19" s="145">
        <v>120</v>
      </c>
      <c r="P19" s="145">
        <v>1067.9000000000001</v>
      </c>
      <c r="R19" s="145">
        <v>120</v>
      </c>
      <c r="S19" s="145">
        <v>1067.97</v>
      </c>
      <c r="U19" s="145">
        <v>120</v>
      </c>
      <c r="V19" s="145">
        <v>1072.51</v>
      </c>
    </row>
    <row r="20" spans="3:22" x14ac:dyDescent="0.25">
      <c r="C20" s="145">
        <v>130</v>
      </c>
      <c r="D20" s="145">
        <v>1067.51</v>
      </c>
      <c r="F20" s="145">
        <v>130</v>
      </c>
      <c r="G20" s="145">
        <v>1069.57</v>
      </c>
      <c r="I20" s="145">
        <v>130</v>
      </c>
      <c r="J20" s="145">
        <v>1069.3900000000001</v>
      </c>
      <c r="L20" s="145">
        <v>130</v>
      </c>
      <c r="M20" s="145">
        <v>1068.69</v>
      </c>
      <c r="O20" s="145">
        <v>130</v>
      </c>
      <c r="P20" s="145">
        <v>1070.81</v>
      </c>
      <c r="R20" s="145">
        <v>130</v>
      </c>
      <c r="S20" s="145">
        <v>1070.31</v>
      </c>
      <c r="U20" s="145">
        <v>130</v>
      </c>
      <c r="V20" s="145">
        <v>1074.79</v>
      </c>
    </row>
    <row r="21" spans="3:22" x14ac:dyDescent="0.25">
      <c r="C21" s="145">
        <v>140</v>
      </c>
      <c r="D21" s="145">
        <v>1070.47</v>
      </c>
      <c r="F21" s="145">
        <v>140</v>
      </c>
      <c r="G21" s="145">
        <v>1071.8599999999999</v>
      </c>
      <c r="I21" s="145">
        <v>140</v>
      </c>
      <c r="J21" s="145">
        <v>1071.8399999999999</v>
      </c>
      <c r="L21" s="145">
        <v>140</v>
      </c>
      <c r="M21" s="145">
        <v>1072.68</v>
      </c>
      <c r="O21" s="145">
        <v>140</v>
      </c>
      <c r="P21" s="145">
        <v>1073.7</v>
      </c>
      <c r="R21" s="145">
        <v>140</v>
      </c>
      <c r="S21" s="145">
        <v>1073.0999999999999</v>
      </c>
      <c r="U21" s="145">
        <v>140</v>
      </c>
      <c r="V21" s="145">
        <v>1077.07</v>
      </c>
    </row>
    <row r="22" spans="3:22" x14ac:dyDescent="0.25">
      <c r="C22" s="145">
        <v>150</v>
      </c>
      <c r="D22" s="145">
        <v>1073.67</v>
      </c>
      <c r="F22" s="145">
        <v>150</v>
      </c>
      <c r="G22" s="145">
        <v>1074.1300000000001</v>
      </c>
      <c r="I22" s="145">
        <v>150</v>
      </c>
      <c r="J22" s="145">
        <v>1074.67</v>
      </c>
      <c r="L22" s="145">
        <v>150</v>
      </c>
      <c r="M22" s="145">
        <v>1076.8599999999999</v>
      </c>
      <c r="O22" s="145">
        <v>150</v>
      </c>
      <c r="P22" s="145">
        <v>1076.6400000000001</v>
      </c>
      <c r="R22" s="145">
        <v>150</v>
      </c>
      <c r="S22" s="145">
        <v>1075.55</v>
      </c>
      <c r="U22" s="145">
        <v>150</v>
      </c>
      <c r="V22" s="145">
        <v>1079.3399999999999</v>
      </c>
    </row>
    <row r="26" spans="3:22" x14ac:dyDescent="0.25">
      <c r="C26" t="s">
        <v>276</v>
      </c>
      <c r="F26" t="s">
        <v>277</v>
      </c>
      <c r="I26" t="s">
        <v>278</v>
      </c>
      <c r="L26" t="s">
        <v>279</v>
      </c>
      <c r="O26" t="s">
        <v>280</v>
      </c>
      <c r="R26" t="s">
        <v>281</v>
      </c>
      <c r="U26" t="s">
        <v>282</v>
      </c>
    </row>
    <row r="28" spans="3:22" x14ac:dyDescent="0.25">
      <c r="C28" s="145" t="s">
        <v>121</v>
      </c>
      <c r="D28" s="145" t="s">
        <v>269</v>
      </c>
      <c r="F28" s="145" t="s">
        <v>121</v>
      </c>
      <c r="G28" s="145" t="s">
        <v>269</v>
      </c>
      <c r="I28" s="145" t="s">
        <v>121</v>
      </c>
      <c r="J28" s="145" t="s">
        <v>269</v>
      </c>
      <c r="L28" s="145" t="s">
        <v>121</v>
      </c>
      <c r="M28" s="145" t="s">
        <v>269</v>
      </c>
      <c r="O28" s="145" t="s">
        <v>121</v>
      </c>
      <c r="P28" s="145" t="s">
        <v>269</v>
      </c>
      <c r="R28" s="145" t="s">
        <v>121</v>
      </c>
      <c r="S28" s="145" t="s">
        <v>269</v>
      </c>
      <c r="U28" s="145" t="s">
        <v>121</v>
      </c>
      <c r="V28" s="145" t="s">
        <v>269</v>
      </c>
    </row>
    <row r="29" spans="3:22" x14ac:dyDescent="0.25">
      <c r="C29" s="145">
        <v>10</v>
      </c>
      <c r="D29" s="145">
        <v>1081.97</v>
      </c>
      <c r="F29" s="145">
        <v>10</v>
      </c>
      <c r="G29" s="145">
        <v>1083.3900000000001</v>
      </c>
      <c r="I29" s="145">
        <v>10</v>
      </c>
      <c r="J29" s="145">
        <v>1084.2</v>
      </c>
      <c r="L29" s="145">
        <v>10</v>
      </c>
      <c r="M29" s="145">
        <v>1085.97</v>
      </c>
      <c r="O29" s="145">
        <v>10</v>
      </c>
      <c r="P29" s="145">
        <v>1089.6500000000001</v>
      </c>
      <c r="R29" s="145">
        <v>10</v>
      </c>
      <c r="S29" s="145">
        <v>1096.17</v>
      </c>
      <c r="U29" s="145">
        <v>10</v>
      </c>
      <c r="V29" s="145">
        <v>1104.26</v>
      </c>
    </row>
    <row r="30" spans="3:22" x14ac:dyDescent="0.25">
      <c r="C30" s="145">
        <v>20</v>
      </c>
      <c r="D30" s="145">
        <v>1079.48</v>
      </c>
      <c r="F30" s="145">
        <v>20</v>
      </c>
      <c r="G30" s="145">
        <v>1080.73</v>
      </c>
      <c r="I30" s="145">
        <v>20</v>
      </c>
      <c r="J30" s="145">
        <v>1080.58</v>
      </c>
      <c r="L30" s="145">
        <v>20</v>
      </c>
      <c r="M30" s="145">
        <v>1082.18</v>
      </c>
      <c r="O30" s="145">
        <v>20</v>
      </c>
      <c r="P30" s="145">
        <v>1084</v>
      </c>
      <c r="R30" s="145">
        <v>20</v>
      </c>
      <c r="S30" s="145">
        <v>1089.7</v>
      </c>
      <c r="U30" s="145">
        <v>20</v>
      </c>
      <c r="V30" s="145">
        <v>1100.44</v>
      </c>
    </row>
    <row r="31" spans="3:22" x14ac:dyDescent="0.25">
      <c r="C31" s="145">
        <v>30</v>
      </c>
      <c r="D31" s="145">
        <v>1076.67</v>
      </c>
      <c r="F31" s="145">
        <v>30</v>
      </c>
      <c r="G31" s="145">
        <v>1078.05</v>
      </c>
      <c r="I31" s="145">
        <v>30</v>
      </c>
      <c r="J31" s="145">
        <v>1077.79</v>
      </c>
      <c r="L31" s="145">
        <v>30</v>
      </c>
      <c r="M31" s="145">
        <v>1078.52</v>
      </c>
      <c r="O31" s="145">
        <v>30</v>
      </c>
      <c r="P31" s="145">
        <v>1078.3499999999999</v>
      </c>
      <c r="R31" s="145">
        <v>30</v>
      </c>
      <c r="S31" s="145">
        <v>1083.1400000000001</v>
      </c>
      <c r="U31" s="145">
        <v>30</v>
      </c>
      <c r="V31" s="145">
        <v>1096.3699999999999</v>
      </c>
    </row>
    <row r="32" spans="3:22" x14ac:dyDescent="0.25">
      <c r="C32" s="145">
        <v>40</v>
      </c>
      <c r="D32" s="145">
        <v>1073.8499999999999</v>
      </c>
      <c r="F32" s="145">
        <v>40</v>
      </c>
      <c r="G32" s="145">
        <v>1075.3599999999999</v>
      </c>
      <c r="I32" s="145">
        <v>40</v>
      </c>
      <c r="J32" s="145">
        <v>1075.1199999999999</v>
      </c>
      <c r="L32" s="145">
        <v>40</v>
      </c>
      <c r="M32" s="145">
        <v>1075.6600000000001</v>
      </c>
      <c r="O32" s="145">
        <v>40</v>
      </c>
      <c r="P32" s="145">
        <v>1076.29</v>
      </c>
      <c r="R32" s="145">
        <v>40</v>
      </c>
      <c r="S32" s="145">
        <v>1079.03</v>
      </c>
      <c r="U32" s="145">
        <v>40</v>
      </c>
      <c r="V32" s="145">
        <v>1090.6500000000001</v>
      </c>
    </row>
    <row r="33" spans="3:22" x14ac:dyDescent="0.25">
      <c r="C33" s="145">
        <v>50</v>
      </c>
      <c r="D33" s="145">
        <v>1071.1300000000001</v>
      </c>
      <c r="F33" s="145">
        <v>50</v>
      </c>
      <c r="G33" s="145">
        <v>1072.57</v>
      </c>
      <c r="I33" s="145">
        <v>50</v>
      </c>
      <c r="J33" s="145">
        <v>1073.29</v>
      </c>
      <c r="L33" s="145">
        <v>50</v>
      </c>
      <c r="M33" s="145">
        <v>1074.46</v>
      </c>
      <c r="O33" s="145">
        <v>50</v>
      </c>
      <c r="P33" s="145">
        <v>1075.48</v>
      </c>
      <c r="R33" s="145">
        <v>50</v>
      </c>
      <c r="S33" s="145">
        <v>1078</v>
      </c>
      <c r="U33" s="145">
        <v>50</v>
      </c>
      <c r="V33" s="145">
        <v>1084.77</v>
      </c>
    </row>
    <row r="34" spans="3:22" x14ac:dyDescent="0.25">
      <c r="C34" s="145">
        <v>60</v>
      </c>
      <c r="D34" s="145">
        <v>1070.1600000000001</v>
      </c>
      <c r="F34" s="145">
        <v>60</v>
      </c>
      <c r="G34" s="145">
        <v>1070.79</v>
      </c>
      <c r="I34" s="145">
        <v>60</v>
      </c>
      <c r="J34" s="145">
        <v>1071.5</v>
      </c>
      <c r="L34" s="145">
        <v>60</v>
      </c>
      <c r="M34" s="145">
        <v>1073.68</v>
      </c>
      <c r="O34" s="145">
        <v>60</v>
      </c>
      <c r="P34" s="145">
        <v>1074.43</v>
      </c>
      <c r="R34" s="145">
        <v>60</v>
      </c>
      <c r="S34" s="145">
        <v>1076.7</v>
      </c>
      <c r="U34" s="145">
        <v>60</v>
      </c>
      <c r="V34" s="145">
        <v>1082</v>
      </c>
    </row>
    <row r="35" spans="3:22" x14ac:dyDescent="0.25">
      <c r="C35" s="145">
        <v>70</v>
      </c>
      <c r="D35" s="145">
        <v>1069.3499999999999</v>
      </c>
      <c r="F35" s="145">
        <v>70</v>
      </c>
      <c r="G35" s="145">
        <v>1069.0899999999999</v>
      </c>
      <c r="I35" s="145">
        <v>70</v>
      </c>
      <c r="J35" s="145">
        <v>1070.54</v>
      </c>
      <c r="L35" s="145">
        <v>70</v>
      </c>
      <c r="M35" s="145">
        <v>1072.6400000000001</v>
      </c>
      <c r="O35" s="145">
        <v>70</v>
      </c>
      <c r="P35" s="145">
        <v>1075.5899999999999</v>
      </c>
      <c r="R35" s="145">
        <v>70</v>
      </c>
      <c r="S35" s="145">
        <v>1077.6300000000001</v>
      </c>
      <c r="U35" s="145">
        <v>70</v>
      </c>
      <c r="V35" s="145">
        <v>1079.6500000000001</v>
      </c>
    </row>
    <row r="36" spans="3:22" x14ac:dyDescent="0.25">
      <c r="C36" s="145">
        <v>80</v>
      </c>
      <c r="D36" s="145">
        <v>1068.21</v>
      </c>
      <c r="F36" s="145">
        <v>80</v>
      </c>
      <c r="G36" s="145">
        <v>1070.57</v>
      </c>
      <c r="I36" s="145">
        <v>80</v>
      </c>
      <c r="J36" s="145">
        <v>1073.05</v>
      </c>
      <c r="L36" s="145">
        <v>80</v>
      </c>
      <c r="M36" s="145">
        <v>1072.97</v>
      </c>
      <c r="O36" s="145">
        <v>80</v>
      </c>
      <c r="P36" s="145">
        <v>1084.27</v>
      </c>
      <c r="R36" s="145">
        <v>80</v>
      </c>
      <c r="S36" s="145">
        <v>1087.2</v>
      </c>
      <c r="U36" s="145">
        <v>80</v>
      </c>
      <c r="V36" s="145">
        <v>1083.1300000000001</v>
      </c>
    </row>
    <row r="37" spans="3:22" x14ac:dyDescent="0.25">
      <c r="C37" s="145">
        <v>90</v>
      </c>
      <c r="D37" s="145">
        <v>1070.0899999999999</v>
      </c>
      <c r="F37" s="145">
        <v>90</v>
      </c>
      <c r="G37" s="145">
        <v>1072.78</v>
      </c>
      <c r="I37" s="145">
        <v>90</v>
      </c>
      <c r="J37" s="145">
        <v>1076.1300000000001</v>
      </c>
      <c r="L37" s="145">
        <v>90</v>
      </c>
      <c r="M37" s="145">
        <v>1083.48</v>
      </c>
      <c r="O37" s="145">
        <v>90</v>
      </c>
      <c r="P37" s="145">
        <v>1094.76</v>
      </c>
      <c r="R37" s="145">
        <v>90</v>
      </c>
      <c r="S37" s="145">
        <v>1094.1300000000001</v>
      </c>
      <c r="U37" s="145">
        <v>90</v>
      </c>
      <c r="V37" s="145">
        <v>1087.93</v>
      </c>
    </row>
    <row r="38" spans="3:22" x14ac:dyDescent="0.25">
      <c r="C38" s="145">
        <v>100</v>
      </c>
      <c r="D38" s="145">
        <v>1072.27</v>
      </c>
      <c r="F38" s="145">
        <v>100</v>
      </c>
      <c r="G38" s="145">
        <v>1075.18</v>
      </c>
      <c r="I38" s="145">
        <v>100</v>
      </c>
      <c r="J38" s="145">
        <v>1078.48</v>
      </c>
      <c r="L38" s="145">
        <v>100</v>
      </c>
      <c r="M38" s="145">
        <v>1087.23</v>
      </c>
      <c r="O38" s="145">
        <v>100</v>
      </c>
      <c r="P38" s="145">
        <v>1099.6400000000001</v>
      </c>
      <c r="R38" s="145">
        <v>100</v>
      </c>
      <c r="S38" s="145">
        <v>1100.9100000000001</v>
      </c>
      <c r="U38" s="145">
        <v>100</v>
      </c>
      <c r="V38" s="145">
        <v>1092.76</v>
      </c>
    </row>
    <row r="39" spans="3:22" x14ac:dyDescent="0.25">
      <c r="C39" s="145">
        <v>110</v>
      </c>
      <c r="D39" s="145">
        <v>1074.27</v>
      </c>
      <c r="F39" s="145">
        <v>110</v>
      </c>
      <c r="G39" s="145">
        <v>1077.17</v>
      </c>
      <c r="I39" s="145">
        <v>110</v>
      </c>
      <c r="J39" s="145">
        <v>1080.8399999999999</v>
      </c>
      <c r="L39" s="145">
        <v>110</v>
      </c>
      <c r="M39" s="145">
        <v>1090.78</v>
      </c>
      <c r="O39" s="145">
        <v>110</v>
      </c>
      <c r="P39" s="145">
        <v>1102.67</v>
      </c>
      <c r="R39" s="145">
        <v>110</v>
      </c>
      <c r="S39" s="145">
        <v>1107.73</v>
      </c>
      <c r="U39" s="145">
        <v>110</v>
      </c>
      <c r="V39" s="145">
        <v>1099.26</v>
      </c>
    </row>
    <row r="40" spans="3:22" x14ac:dyDescent="0.25">
      <c r="C40" s="145">
        <v>120</v>
      </c>
      <c r="D40" s="145">
        <v>1076.28</v>
      </c>
      <c r="F40" s="145">
        <v>120</v>
      </c>
      <c r="G40" s="145">
        <v>1079.1500000000001</v>
      </c>
      <c r="I40" s="145">
        <v>120</v>
      </c>
      <c r="J40" s="145">
        <v>1083.2</v>
      </c>
      <c r="L40" s="145">
        <v>120</v>
      </c>
      <c r="M40" s="145">
        <v>1094.33</v>
      </c>
      <c r="O40" s="145">
        <v>120</v>
      </c>
      <c r="P40" s="145">
        <v>1105.77</v>
      </c>
      <c r="R40" s="145">
        <v>120</v>
      </c>
      <c r="S40" s="145">
        <v>1111.44</v>
      </c>
      <c r="U40" s="145">
        <v>120</v>
      </c>
      <c r="V40" s="145">
        <v>1106.0999999999999</v>
      </c>
    </row>
    <row r="41" spans="3:22" x14ac:dyDescent="0.25">
      <c r="C41" s="145">
        <v>130</v>
      </c>
      <c r="D41" s="145">
        <v>1078.28</v>
      </c>
      <c r="F41" s="145">
        <v>130</v>
      </c>
      <c r="G41" s="145">
        <v>1081.1500000000001</v>
      </c>
      <c r="I41" s="145">
        <v>130</v>
      </c>
      <c r="J41" s="145">
        <v>1085.55</v>
      </c>
      <c r="L41" s="145">
        <v>130</v>
      </c>
      <c r="M41" s="145">
        <v>1097.8800000000001</v>
      </c>
      <c r="O41" s="145">
        <v>130</v>
      </c>
      <c r="P41" s="145">
        <v>1108.8800000000001</v>
      </c>
      <c r="R41" s="145">
        <v>130</v>
      </c>
      <c r="S41" s="145">
        <v>1114.8599999999999</v>
      </c>
      <c r="U41" s="145">
        <v>130</v>
      </c>
      <c r="V41" s="145">
        <v>1112.94</v>
      </c>
    </row>
    <row r="42" spans="3:22" x14ac:dyDescent="0.25">
      <c r="C42" s="145">
        <v>140</v>
      </c>
      <c r="D42" s="145">
        <v>1080.28</v>
      </c>
      <c r="F42" s="145">
        <v>140</v>
      </c>
      <c r="G42" s="145">
        <v>1083.1500000000001</v>
      </c>
      <c r="I42" s="145">
        <v>140</v>
      </c>
      <c r="J42" s="145">
        <v>1087.9000000000001</v>
      </c>
      <c r="L42" s="145">
        <v>140</v>
      </c>
      <c r="M42" s="145">
        <v>1101.03</v>
      </c>
      <c r="O42" s="145">
        <v>140</v>
      </c>
      <c r="P42" s="145">
        <v>1111.98</v>
      </c>
      <c r="R42" s="145">
        <v>140</v>
      </c>
      <c r="S42" s="145">
        <v>1118.28</v>
      </c>
      <c r="U42" s="145">
        <v>140</v>
      </c>
      <c r="V42" s="145">
        <v>1118</v>
      </c>
    </row>
    <row r="43" spans="3:22" x14ac:dyDescent="0.25">
      <c r="C43" s="145">
        <v>150</v>
      </c>
      <c r="D43" s="145">
        <v>1082.45</v>
      </c>
      <c r="F43" s="145">
        <v>150</v>
      </c>
      <c r="G43" s="145">
        <v>1085.1300000000001</v>
      </c>
      <c r="I43" s="145">
        <v>150</v>
      </c>
      <c r="J43" s="145">
        <v>1090.31</v>
      </c>
      <c r="L43" s="145">
        <v>150</v>
      </c>
      <c r="M43" s="145">
        <v>1103.93</v>
      </c>
      <c r="O43" s="145">
        <v>150</v>
      </c>
      <c r="P43" s="145">
        <v>1115.0899999999999</v>
      </c>
      <c r="R43" s="145">
        <v>150</v>
      </c>
      <c r="S43" s="145">
        <v>1120.95</v>
      </c>
      <c r="U43" s="145">
        <v>150</v>
      </c>
      <c r="V43" s="145">
        <v>1120.42</v>
      </c>
    </row>
    <row r="44" spans="3:22" x14ac:dyDescent="0.25">
      <c r="U44" s="145">
        <v>160</v>
      </c>
      <c r="V44" s="27">
        <v>1121.72</v>
      </c>
    </row>
    <row r="45" spans="3:22" x14ac:dyDescent="0.25">
      <c r="U45" s="145">
        <v>170</v>
      </c>
      <c r="V45" s="27">
        <v>1125.0899999999999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tabSelected="1" zoomScale="70" zoomScaleNormal="70" workbookViewId="0">
      <selection activeCell="O26" sqref="O26"/>
    </sheetView>
  </sheetViews>
  <sheetFormatPr baseColWidth="10" defaultRowHeight="15" x14ac:dyDescent="0.25"/>
  <cols>
    <col min="4" max="4" width="12.28515625" customWidth="1"/>
  </cols>
  <sheetData>
    <row r="2" spans="2:17" x14ac:dyDescent="0.25">
      <c r="B2" s="146" t="s">
        <v>283</v>
      </c>
      <c r="C2" s="20">
        <v>20</v>
      </c>
      <c r="D2" s="146" t="s">
        <v>306</v>
      </c>
      <c r="F2" t="s">
        <v>300</v>
      </c>
      <c r="M2" s="148" t="s">
        <v>302</v>
      </c>
      <c r="N2" s="20">
        <v>8</v>
      </c>
      <c r="O2" s="148" t="s">
        <v>61</v>
      </c>
    </row>
    <row r="3" spans="2:17" x14ac:dyDescent="0.25">
      <c r="B3" s="146" t="s">
        <v>283</v>
      </c>
      <c r="C3" s="47">
        <f>C2/100</f>
        <v>0.2</v>
      </c>
      <c r="D3" s="146" t="s">
        <v>45</v>
      </c>
      <c r="N3" t="s">
        <v>303</v>
      </c>
    </row>
    <row r="5" spans="2:17" x14ac:dyDescent="0.25">
      <c r="B5" s="146" t="s">
        <v>116</v>
      </c>
      <c r="C5" s="39">
        <f>0.047*(C3^(1/6))</f>
        <v>3.5942051092591312E-2</v>
      </c>
      <c r="E5" t="s">
        <v>301</v>
      </c>
    </row>
    <row r="7" spans="2:17" x14ac:dyDescent="0.25">
      <c r="B7" t="s">
        <v>284</v>
      </c>
      <c r="D7" s="148" t="s">
        <v>283</v>
      </c>
      <c r="E7" s="20">
        <v>3.5999999999999997E-2</v>
      </c>
    </row>
    <row r="8" spans="2:17" x14ac:dyDescent="0.25">
      <c r="D8" s="148" t="s">
        <v>283</v>
      </c>
      <c r="E8" s="20">
        <v>0.06</v>
      </c>
      <c r="G8" t="s">
        <v>285</v>
      </c>
    </row>
    <row r="11" spans="2:17" x14ac:dyDescent="0.25">
      <c r="C11" s="19" t="s">
        <v>304</v>
      </c>
    </row>
    <row r="13" spans="2:17" x14ac:dyDescent="0.25">
      <c r="B13" s="147" t="s">
        <v>121</v>
      </c>
      <c r="C13" s="147" t="s">
        <v>286</v>
      </c>
      <c r="D13" s="147" t="s">
        <v>287</v>
      </c>
      <c r="E13" s="147" t="s">
        <v>289</v>
      </c>
      <c r="F13" s="217" t="s">
        <v>290</v>
      </c>
      <c r="G13" s="147" t="s">
        <v>205</v>
      </c>
      <c r="H13" s="147" t="s">
        <v>86</v>
      </c>
      <c r="I13" s="147" t="s">
        <v>291</v>
      </c>
      <c r="J13" s="147" t="s">
        <v>100</v>
      </c>
      <c r="K13" s="217" t="s">
        <v>96</v>
      </c>
      <c r="L13" s="147" t="s">
        <v>292</v>
      </c>
      <c r="M13" s="147" t="s">
        <v>293</v>
      </c>
      <c r="N13" s="147" t="s">
        <v>294</v>
      </c>
    </row>
    <row r="14" spans="2:17" x14ac:dyDescent="0.25">
      <c r="B14" s="147" t="s">
        <v>45</v>
      </c>
      <c r="C14" s="147" t="s">
        <v>288</v>
      </c>
      <c r="D14" s="147" t="s">
        <v>288</v>
      </c>
      <c r="E14" s="147" t="s">
        <v>45</v>
      </c>
      <c r="F14" s="218"/>
      <c r="G14" s="147" t="s">
        <v>45</v>
      </c>
      <c r="H14" s="147" t="s">
        <v>148</v>
      </c>
      <c r="I14" s="147" t="s">
        <v>45</v>
      </c>
      <c r="J14" s="147" t="s">
        <v>45</v>
      </c>
      <c r="K14" s="218"/>
      <c r="L14" s="147" t="s">
        <v>133</v>
      </c>
      <c r="M14" s="147" t="s">
        <v>45</v>
      </c>
      <c r="N14" s="147" t="s">
        <v>45</v>
      </c>
    </row>
    <row r="15" spans="2:17" x14ac:dyDescent="0.25">
      <c r="B15" s="146">
        <v>10</v>
      </c>
      <c r="C15" s="146">
        <v>1070.33</v>
      </c>
      <c r="D15" s="146">
        <v>1061.0999999999999</v>
      </c>
      <c r="E15" s="1">
        <v>0</v>
      </c>
      <c r="F15" s="146">
        <f>$E$8</f>
        <v>0.06</v>
      </c>
      <c r="G15" s="118">
        <f>(B16+B15)/2</f>
        <v>15</v>
      </c>
      <c r="H15" s="1">
        <f>E15*G15</f>
        <v>0</v>
      </c>
      <c r="I15" s="1">
        <f>H15/G15</f>
        <v>0</v>
      </c>
      <c r="J15" s="146">
        <v>5.09</v>
      </c>
      <c r="K15" s="146">
        <v>2.17</v>
      </c>
      <c r="L15" s="1">
        <f>H15*J15</f>
        <v>0</v>
      </c>
      <c r="M15" s="1">
        <f>(L15/(4.7*($C$3^0.28)))^0.71</f>
        <v>0</v>
      </c>
      <c r="N15" s="1">
        <f>M15-E15</f>
        <v>0</v>
      </c>
      <c r="P15">
        <f>(B15+B16)/2</f>
        <v>15</v>
      </c>
      <c r="Q15" s="70">
        <f>C15-N15</f>
        <v>1070.33</v>
      </c>
    </row>
    <row r="16" spans="2:17" x14ac:dyDescent="0.25">
      <c r="B16" s="146">
        <v>20</v>
      </c>
      <c r="C16" s="146">
        <v>1066.6600000000001</v>
      </c>
      <c r="D16" s="146">
        <v>1061.0999999999999</v>
      </c>
      <c r="E16" s="1">
        <v>0</v>
      </c>
      <c r="F16" s="146">
        <f t="shared" ref="F16:F18" si="0">$E$8</f>
        <v>0.06</v>
      </c>
      <c r="G16" s="118">
        <f>P16-P15</f>
        <v>10</v>
      </c>
      <c r="H16" s="1">
        <f t="shared" ref="H16:H34" si="1">E16*G16</f>
        <v>0</v>
      </c>
      <c r="I16" s="1">
        <f t="shared" ref="I16:I34" si="2">H16/G16</f>
        <v>0</v>
      </c>
      <c r="J16" s="146">
        <v>5.09</v>
      </c>
      <c r="K16" s="146">
        <v>2.17</v>
      </c>
      <c r="L16" s="1">
        <f t="shared" ref="L16:L34" si="3">H16*J16</f>
        <v>0</v>
      </c>
      <c r="M16" s="1">
        <f t="shared" ref="M16:M34" si="4">(L16/(4.7*($C$3^0.28)))^0.71</f>
        <v>0</v>
      </c>
      <c r="N16" s="1">
        <f t="shared" ref="N16:N34" si="5">M16-E16</f>
        <v>0</v>
      </c>
      <c r="P16">
        <f t="shared" ref="P16:P35" si="6">(B16+B17)/2</f>
        <v>25</v>
      </c>
      <c r="Q16" s="70">
        <f t="shared" ref="Q16:Q35" si="7">C16-N16</f>
        <v>1066.6600000000001</v>
      </c>
    </row>
    <row r="17" spans="2:17" x14ac:dyDescent="0.25">
      <c r="B17" s="146">
        <v>30</v>
      </c>
      <c r="C17" s="146">
        <v>1065.81</v>
      </c>
      <c r="D17" s="146">
        <v>1061.0999999999999</v>
      </c>
      <c r="E17" s="1">
        <v>0</v>
      </c>
      <c r="F17" s="146">
        <f t="shared" si="0"/>
        <v>0.06</v>
      </c>
      <c r="G17" s="118">
        <f>P17-P16</f>
        <v>10</v>
      </c>
      <c r="H17" s="1">
        <f t="shared" si="1"/>
        <v>0</v>
      </c>
      <c r="I17" s="1">
        <f t="shared" si="2"/>
        <v>0</v>
      </c>
      <c r="J17" s="146">
        <v>5.09</v>
      </c>
      <c r="K17" s="146">
        <v>2.17</v>
      </c>
      <c r="L17" s="1">
        <f t="shared" si="3"/>
        <v>0</v>
      </c>
      <c r="M17" s="1">
        <f t="shared" si="4"/>
        <v>0</v>
      </c>
      <c r="N17" s="1">
        <f t="shared" si="5"/>
        <v>0</v>
      </c>
      <c r="P17">
        <f t="shared" si="6"/>
        <v>35</v>
      </c>
      <c r="Q17" s="70">
        <f t="shared" si="7"/>
        <v>1065.81</v>
      </c>
    </row>
    <row r="18" spans="2:17" x14ac:dyDescent="0.25">
      <c r="B18" s="146">
        <v>40</v>
      </c>
      <c r="C18" s="146">
        <v>1065.71</v>
      </c>
      <c r="D18" s="146">
        <v>1061.0999999999999</v>
      </c>
      <c r="E18" s="1">
        <v>0</v>
      </c>
      <c r="F18" s="146">
        <f t="shared" si="0"/>
        <v>0.06</v>
      </c>
      <c r="G18" s="118">
        <f t="shared" ref="G18:G34" si="8">P18-P17</f>
        <v>10</v>
      </c>
      <c r="H18" s="1">
        <f t="shared" si="1"/>
        <v>0</v>
      </c>
      <c r="I18" s="1">
        <f t="shared" si="2"/>
        <v>0</v>
      </c>
      <c r="J18" s="146">
        <v>5.09</v>
      </c>
      <c r="K18" s="146">
        <v>2.17</v>
      </c>
      <c r="L18" s="1">
        <f t="shared" si="3"/>
        <v>0</v>
      </c>
      <c r="M18" s="1">
        <f t="shared" si="4"/>
        <v>0</v>
      </c>
      <c r="N18" s="1">
        <f t="shared" si="5"/>
        <v>0</v>
      </c>
      <c r="P18">
        <f t="shared" si="6"/>
        <v>45</v>
      </c>
      <c r="Q18" s="70">
        <f t="shared" si="7"/>
        <v>1065.71</v>
      </c>
    </row>
    <row r="19" spans="2:17" x14ac:dyDescent="0.25">
      <c r="B19" s="146">
        <v>50</v>
      </c>
      <c r="C19" s="146">
        <v>1064.6199999999999</v>
      </c>
      <c r="D19" s="146">
        <v>1061.0999999999999</v>
      </c>
      <c r="E19" s="1">
        <v>0</v>
      </c>
      <c r="F19" s="146">
        <f>$E$7</f>
        <v>3.5999999999999997E-2</v>
      </c>
      <c r="G19" s="118">
        <f t="shared" si="8"/>
        <v>6.5</v>
      </c>
      <c r="H19" s="1">
        <f t="shared" si="1"/>
        <v>0</v>
      </c>
      <c r="I19" s="1">
        <f t="shared" si="2"/>
        <v>0</v>
      </c>
      <c r="J19" s="146">
        <v>5.09</v>
      </c>
      <c r="K19" s="146">
        <v>2.17</v>
      </c>
      <c r="L19" s="1">
        <f t="shared" si="3"/>
        <v>0</v>
      </c>
      <c r="M19" s="1">
        <f t="shared" si="4"/>
        <v>0</v>
      </c>
      <c r="N19" s="1">
        <f t="shared" si="5"/>
        <v>0</v>
      </c>
      <c r="P19">
        <f t="shared" si="6"/>
        <v>51.5</v>
      </c>
      <c r="Q19" s="70">
        <f t="shared" si="7"/>
        <v>1064.6199999999999</v>
      </c>
    </row>
    <row r="20" spans="2:17" x14ac:dyDescent="0.25">
      <c r="B20" s="146">
        <v>53</v>
      </c>
      <c r="C20" s="1">
        <f>$C$22+(($B$22-B20)*($C$19-$C$22)/($B$22-$B$19))</f>
        <v>1063.4079999999999</v>
      </c>
      <c r="D20" s="146">
        <v>1061.0999999999999</v>
      </c>
      <c r="E20" s="1">
        <v>0</v>
      </c>
      <c r="F20" s="146">
        <f t="shared" ref="F20:F27" si="9">$E$7</f>
        <v>3.5999999999999997E-2</v>
      </c>
      <c r="G20" s="118">
        <f t="shared" si="8"/>
        <v>3</v>
      </c>
      <c r="H20" s="1">
        <f t="shared" si="1"/>
        <v>0</v>
      </c>
      <c r="I20" s="1">
        <f t="shared" si="2"/>
        <v>0</v>
      </c>
      <c r="J20" s="146">
        <v>5.09</v>
      </c>
      <c r="K20" s="146">
        <v>2.17</v>
      </c>
      <c r="L20" s="1">
        <f t="shared" si="3"/>
        <v>0</v>
      </c>
      <c r="M20" s="1">
        <f t="shared" si="4"/>
        <v>0</v>
      </c>
      <c r="N20" s="1">
        <f t="shared" si="5"/>
        <v>0</v>
      </c>
      <c r="P20">
        <f t="shared" si="6"/>
        <v>54.5</v>
      </c>
      <c r="Q20" s="70">
        <f t="shared" si="7"/>
        <v>1063.4079999999999</v>
      </c>
    </row>
    <row r="21" spans="2:17" x14ac:dyDescent="0.25">
      <c r="B21" s="146">
        <v>56</v>
      </c>
      <c r="C21" s="1">
        <f>$C$22+(($B$22-B21)*($C$19-$C$22)/($B$22-$B$19))</f>
        <v>1062.1959999999999</v>
      </c>
      <c r="D21" s="146">
        <v>1061.0999999999999</v>
      </c>
      <c r="E21" s="1">
        <v>0</v>
      </c>
      <c r="F21" s="146">
        <f t="shared" si="9"/>
        <v>3.5999999999999997E-2</v>
      </c>
      <c r="G21" s="118">
        <f t="shared" si="8"/>
        <v>3.5</v>
      </c>
      <c r="H21" s="1">
        <f t="shared" si="1"/>
        <v>0</v>
      </c>
      <c r="I21" s="1">
        <f t="shared" si="2"/>
        <v>0</v>
      </c>
      <c r="J21" s="146">
        <v>5.09</v>
      </c>
      <c r="K21" s="146">
        <v>2.17</v>
      </c>
      <c r="L21" s="1">
        <f t="shared" si="3"/>
        <v>0</v>
      </c>
      <c r="M21" s="1">
        <f t="shared" si="4"/>
        <v>0</v>
      </c>
      <c r="N21" s="1">
        <f t="shared" si="5"/>
        <v>0</v>
      </c>
      <c r="P21">
        <f t="shared" si="6"/>
        <v>58</v>
      </c>
      <c r="Q21" s="70">
        <f t="shared" si="7"/>
        <v>1062.1959999999999</v>
      </c>
    </row>
    <row r="22" spans="2:17" x14ac:dyDescent="0.25">
      <c r="B22" s="146">
        <v>60</v>
      </c>
      <c r="C22" s="146">
        <v>1060.58</v>
      </c>
      <c r="D22" s="146">
        <v>1061.0999999999999</v>
      </c>
      <c r="E22" s="1">
        <f t="shared" ref="E22:E27" si="10">D22-C22</f>
        <v>0.51999999999998181</v>
      </c>
      <c r="F22" s="146">
        <f t="shared" si="9"/>
        <v>3.5999999999999997E-2</v>
      </c>
      <c r="G22" s="118">
        <f t="shared" si="8"/>
        <v>3.5</v>
      </c>
      <c r="H22" s="1">
        <f t="shared" si="1"/>
        <v>1.8199999999999363</v>
      </c>
      <c r="I22" s="1">
        <f t="shared" si="2"/>
        <v>0.51999999999998181</v>
      </c>
      <c r="J22" s="146">
        <v>5.09</v>
      </c>
      <c r="K22" s="146">
        <v>2.17</v>
      </c>
      <c r="L22" s="1">
        <f t="shared" si="3"/>
        <v>9.2637999999996765</v>
      </c>
      <c r="M22" s="1">
        <f t="shared" si="4"/>
        <v>2.2293901021601985</v>
      </c>
      <c r="N22" s="1">
        <f t="shared" si="5"/>
        <v>1.7093901021602167</v>
      </c>
      <c r="P22">
        <f t="shared" si="6"/>
        <v>61.5</v>
      </c>
      <c r="Q22" s="70">
        <f t="shared" si="7"/>
        <v>1058.8706098978398</v>
      </c>
    </row>
    <row r="23" spans="2:17" x14ac:dyDescent="0.25">
      <c r="B23" s="146">
        <v>63</v>
      </c>
      <c r="C23" s="1">
        <f>$C$25+(($B$25-B23)*($C$22-$C$25)/($B$25-$B$22))</f>
        <v>1060.481</v>
      </c>
      <c r="D23" s="146">
        <v>1061.0999999999999</v>
      </c>
      <c r="E23" s="1">
        <f t="shared" si="10"/>
        <v>0.61899999999991451</v>
      </c>
      <c r="F23" s="146">
        <f t="shared" si="9"/>
        <v>3.5999999999999997E-2</v>
      </c>
      <c r="G23" s="118">
        <f t="shared" si="8"/>
        <v>3</v>
      </c>
      <c r="H23" s="1">
        <f t="shared" si="1"/>
        <v>1.8569999999997435</v>
      </c>
      <c r="I23" s="1">
        <f t="shared" si="2"/>
        <v>0.61899999999991451</v>
      </c>
      <c r="J23" s="146">
        <v>5.09</v>
      </c>
      <c r="K23" s="146">
        <v>2.17</v>
      </c>
      <c r="L23" s="1">
        <f t="shared" si="3"/>
        <v>9.4521299999986947</v>
      </c>
      <c r="M23" s="1">
        <f t="shared" si="4"/>
        <v>2.2614752277779813</v>
      </c>
      <c r="N23" s="1">
        <f t="shared" si="5"/>
        <v>1.6424752277780668</v>
      </c>
      <c r="P23">
        <f t="shared" si="6"/>
        <v>64.5</v>
      </c>
      <c r="Q23" s="70">
        <f t="shared" si="7"/>
        <v>1058.8385247722219</v>
      </c>
    </row>
    <row r="24" spans="2:17" x14ac:dyDescent="0.25">
      <c r="B24" s="146">
        <v>66</v>
      </c>
      <c r="C24" s="1">
        <f>$C$25+(($B$25-B24)*($C$22-$C$25)/($B$25-$B$22))</f>
        <v>1060.3820000000001</v>
      </c>
      <c r="D24" s="146">
        <v>1061.0999999999999</v>
      </c>
      <c r="E24" s="1">
        <f t="shared" si="10"/>
        <v>0.7179999999998472</v>
      </c>
      <c r="F24" s="146">
        <f t="shared" si="9"/>
        <v>3.5999999999999997E-2</v>
      </c>
      <c r="G24" s="118">
        <f t="shared" si="8"/>
        <v>3.5</v>
      </c>
      <c r="H24" s="1">
        <f t="shared" si="1"/>
        <v>2.5129999999994652</v>
      </c>
      <c r="I24" s="1">
        <f t="shared" si="2"/>
        <v>0.7179999999998472</v>
      </c>
      <c r="J24" s="146">
        <v>5.09</v>
      </c>
      <c r="K24" s="146">
        <v>2.17</v>
      </c>
      <c r="L24" s="1">
        <f t="shared" si="3"/>
        <v>12.791169999997278</v>
      </c>
      <c r="M24" s="1">
        <f t="shared" si="4"/>
        <v>2.8033159632738851</v>
      </c>
      <c r="N24" s="1">
        <f t="shared" si="5"/>
        <v>2.0853159632740379</v>
      </c>
      <c r="P24">
        <f t="shared" si="6"/>
        <v>68</v>
      </c>
      <c r="Q24" s="70">
        <f t="shared" si="7"/>
        <v>1058.296684036726</v>
      </c>
    </row>
    <row r="25" spans="2:17" x14ac:dyDescent="0.25">
      <c r="B25" s="146">
        <v>70</v>
      </c>
      <c r="C25" s="146">
        <v>1060.25</v>
      </c>
      <c r="D25" s="146">
        <v>1061.0999999999999</v>
      </c>
      <c r="E25" s="1">
        <f t="shared" si="10"/>
        <v>0.84999999999990905</v>
      </c>
      <c r="F25" s="146">
        <f t="shared" si="9"/>
        <v>3.5999999999999997E-2</v>
      </c>
      <c r="G25" s="118">
        <f t="shared" si="8"/>
        <v>3.5</v>
      </c>
      <c r="H25" s="1">
        <f t="shared" si="1"/>
        <v>2.9749999999996817</v>
      </c>
      <c r="I25" s="1">
        <f t="shared" si="2"/>
        <v>0.84999999999990905</v>
      </c>
      <c r="J25" s="146">
        <v>5.09</v>
      </c>
      <c r="K25" s="146">
        <v>2.17</v>
      </c>
      <c r="L25" s="1">
        <f t="shared" si="3"/>
        <v>15.142749999998379</v>
      </c>
      <c r="M25" s="1">
        <f t="shared" si="4"/>
        <v>3.1601749917166018</v>
      </c>
      <c r="N25" s="1">
        <f t="shared" si="5"/>
        <v>2.3101749917166927</v>
      </c>
      <c r="P25">
        <f t="shared" si="6"/>
        <v>71.5</v>
      </c>
      <c r="Q25" s="70">
        <f t="shared" si="7"/>
        <v>1057.9398250082834</v>
      </c>
    </row>
    <row r="26" spans="2:17" x14ac:dyDescent="0.25">
      <c r="B26" s="146">
        <v>73</v>
      </c>
      <c r="C26" s="1">
        <f>$C$25+((B26-$B$25)*($C$28-$C$25)/($B$28-$B$25))</f>
        <v>1060.6310000000001</v>
      </c>
      <c r="D26" s="146">
        <v>1061.0999999999999</v>
      </c>
      <c r="E26" s="1">
        <f t="shared" si="10"/>
        <v>0.46899999999982356</v>
      </c>
      <c r="F26" s="146">
        <f t="shared" si="9"/>
        <v>3.5999999999999997E-2</v>
      </c>
      <c r="G26" s="118">
        <f t="shared" si="8"/>
        <v>3</v>
      </c>
      <c r="H26" s="1">
        <f t="shared" si="1"/>
        <v>1.4069999999994707</v>
      </c>
      <c r="I26" s="1">
        <f t="shared" si="2"/>
        <v>0.46899999999982356</v>
      </c>
      <c r="J26" s="146">
        <v>5.09</v>
      </c>
      <c r="K26" s="146">
        <v>2.17</v>
      </c>
      <c r="L26" s="1">
        <f t="shared" si="3"/>
        <v>7.1616299999973059</v>
      </c>
      <c r="M26" s="1">
        <f t="shared" si="4"/>
        <v>1.8570525456835947</v>
      </c>
      <c r="N26" s="1">
        <f t="shared" si="5"/>
        <v>1.3880525456837711</v>
      </c>
      <c r="P26">
        <f t="shared" si="6"/>
        <v>74.5</v>
      </c>
      <c r="Q26" s="70">
        <f t="shared" si="7"/>
        <v>1059.2429474543162</v>
      </c>
    </row>
    <row r="27" spans="2:17" x14ac:dyDescent="0.25">
      <c r="B27" s="146">
        <v>76</v>
      </c>
      <c r="C27" s="1">
        <f>$C$25+((B27-$B$25)*($C$28-$C$25)/($B$28-$B$25))</f>
        <v>1061.0119999999999</v>
      </c>
      <c r="D27" s="146">
        <v>1061.0999999999999</v>
      </c>
      <c r="E27" s="1">
        <f t="shared" si="10"/>
        <v>8.7999999999965439E-2</v>
      </c>
      <c r="F27" s="146">
        <f t="shared" si="9"/>
        <v>3.5999999999999997E-2</v>
      </c>
      <c r="G27" s="118">
        <f t="shared" si="8"/>
        <v>3.5</v>
      </c>
      <c r="H27" s="1">
        <f t="shared" si="1"/>
        <v>0.30799999999987904</v>
      </c>
      <c r="I27" s="1">
        <f t="shared" si="2"/>
        <v>8.7999999999965439E-2</v>
      </c>
      <c r="J27" s="146">
        <v>5.09</v>
      </c>
      <c r="K27" s="146">
        <v>2.17</v>
      </c>
      <c r="L27" s="1">
        <f t="shared" si="3"/>
        <v>1.5677199999993843</v>
      </c>
      <c r="M27" s="1">
        <f t="shared" si="4"/>
        <v>0.63154804036569323</v>
      </c>
      <c r="N27" s="1">
        <f t="shared" si="5"/>
        <v>0.54354804036572779</v>
      </c>
      <c r="P27">
        <f t="shared" si="6"/>
        <v>78</v>
      </c>
      <c r="Q27" s="70">
        <f t="shared" si="7"/>
        <v>1060.4684519596342</v>
      </c>
    </row>
    <row r="28" spans="2:17" x14ac:dyDescent="0.25">
      <c r="B28" s="146">
        <v>80</v>
      </c>
      <c r="C28" s="146">
        <v>1061.52</v>
      </c>
      <c r="D28" s="146">
        <v>1061.0999999999999</v>
      </c>
      <c r="E28" s="1">
        <v>0</v>
      </c>
      <c r="F28" s="146">
        <f>$E$7</f>
        <v>3.5999999999999997E-2</v>
      </c>
      <c r="G28" s="118">
        <f t="shared" si="8"/>
        <v>7</v>
      </c>
      <c r="H28" s="1">
        <f t="shared" si="1"/>
        <v>0</v>
      </c>
      <c r="I28" s="1">
        <f t="shared" si="2"/>
        <v>0</v>
      </c>
      <c r="J28" s="146">
        <v>5.09</v>
      </c>
      <c r="K28" s="146">
        <v>2.17</v>
      </c>
      <c r="L28" s="1">
        <f t="shared" si="3"/>
        <v>0</v>
      </c>
      <c r="M28" s="1">
        <f t="shared" si="4"/>
        <v>0</v>
      </c>
      <c r="N28" s="1">
        <f t="shared" si="5"/>
        <v>0</v>
      </c>
      <c r="P28">
        <f t="shared" si="6"/>
        <v>85</v>
      </c>
      <c r="Q28" s="70">
        <f t="shared" si="7"/>
        <v>1061.52</v>
      </c>
    </row>
    <row r="29" spans="2:17" x14ac:dyDescent="0.25">
      <c r="B29" s="146">
        <v>90</v>
      </c>
      <c r="C29" s="146">
        <v>1061.71</v>
      </c>
      <c r="D29" s="146">
        <v>1061.0999999999999</v>
      </c>
      <c r="E29" s="1">
        <v>0</v>
      </c>
      <c r="F29" s="146">
        <f>$E$8</f>
        <v>0.06</v>
      </c>
      <c r="G29" s="118">
        <f t="shared" si="8"/>
        <v>10</v>
      </c>
      <c r="H29" s="1">
        <f t="shared" si="1"/>
        <v>0</v>
      </c>
      <c r="I29" s="1">
        <f t="shared" si="2"/>
        <v>0</v>
      </c>
      <c r="J29" s="146">
        <v>5.09</v>
      </c>
      <c r="K29" s="146">
        <v>2.17</v>
      </c>
      <c r="L29" s="1">
        <f t="shared" si="3"/>
        <v>0</v>
      </c>
      <c r="M29" s="1">
        <f t="shared" si="4"/>
        <v>0</v>
      </c>
      <c r="N29" s="1">
        <f t="shared" si="5"/>
        <v>0</v>
      </c>
      <c r="P29">
        <f t="shared" si="6"/>
        <v>95</v>
      </c>
      <c r="Q29" s="70">
        <f t="shared" si="7"/>
        <v>1061.71</v>
      </c>
    </row>
    <row r="30" spans="2:17" x14ac:dyDescent="0.25">
      <c r="B30" s="146">
        <v>100</v>
      </c>
      <c r="C30" s="146">
        <v>1063.8699999999999</v>
      </c>
      <c r="D30" s="146">
        <v>1061.0999999999999</v>
      </c>
      <c r="E30" s="1">
        <v>0</v>
      </c>
      <c r="F30" s="146">
        <f t="shared" ref="F30:F35" si="11">$E$8</f>
        <v>0.06</v>
      </c>
      <c r="G30" s="118">
        <f t="shared" si="8"/>
        <v>10</v>
      </c>
      <c r="H30" s="1">
        <f t="shared" si="1"/>
        <v>0</v>
      </c>
      <c r="I30" s="1">
        <f t="shared" si="2"/>
        <v>0</v>
      </c>
      <c r="J30" s="146">
        <v>5.09</v>
      </c>
      <c r="K30" s="146">
        <v>2.17</v>
      </c>
      <c r="L30" s="1">
        <f t="shared" si="3"/>
        <v>0</v>
      </c>
      <c r="M30" s="1">
        <f t="shared" si="4"/>
        <v>0</v>
      </c>
      <c r="N30" s="1">
        <f t="shared" si="5"/>
        <v>0</v>
      </c>
      <c r="P30">
        <f t="shared" si="6"/>
        <v>105</v>
      </c>
      <c r="Q30" s="70">
        <f t="shared" si="7"/>
        <v>1063.8699999999999</v>
      </c>
    </row>
    <row r="31" spans="2:17" x14ac:dyDescent="0.25">
      <c r="B31" s="146">
        <v>110</v>
      </c>
      <c r="C31" s="146">
        <v>1065.56</v>
      </c>
      <c r="D31" s="146">
        <v>1061.0999999999999</v>
      </c>
      <c r="E31" s="1">
        <v>0</v>
      </c>
      <c r="F31" s="146">
        <f t="shared" si="11"/>
        <v>0.06</v>
      </c>
      <c r="G31" s="118">
        <f t="shared" si="8"/>
        <v>10</v>
      </c>
      <c r="H31" s="1">
        <f t="shared" si="1"/>
        <v>0</v>
      </c>
      <c r="I31" s="1">
        <f t="shared" si="2"/>
        <v>0</v>
      </c>
      <c r="J31" s="146">
        <v>5.09</v>
      </c>
      <c r="K31" s="146">
        <v>2.17</v>
      </c>
      <c r="L31" s="1">
        <f t="shared" si="3"/>
        <v>0</v>
      </c>
      <c r="M31" s="1">
        <f t="shared" si="4"/>
        <v>0</v>
      </c>
      <c r="N31" s="1">
        <f t="shared" si="5"/>
        <v>0</v>
      </c>
      <c r="P31">
        <f t="shared" si="6"/>
        <v>115</v>
      </c>
      <c r="Q31" s="70">
        <f t="shared" si="7"/>
        <v>1065.56</v>
      </c>
    </row>
    <row r="32" spans="2:17" x14ac:dyDescent="0.25">
      <c r="B32" s="146">
        <v>120</v>
      </c>
      <c r="C32" s="146">
        <v>1066.97</v>
      </c>
      <c r="D32" s="146">
        <v>1061.0999999999999</v>
      </c>
      <c r="E32" s="1">
        <v>0</v>
      </c>
      <c r="F32" s="146">
        <f t="shared" si="11"/>
        <v>0.06</v>
      </c>
      <c r="G32" s="118">
        <f t="shared" si="8"/>
        <v>10</v>
      </c>
      <c r="H32" s="1">
        <f t="shared" si="1"/>
        <v>0</v>
      </c>
      <c r="I32" s="1">
        <f t="shared" si="2"/>
        <v>0</v>
      </c>
      <c r="J32" s="146">
        <v>5.09</v>
      </c>
      <c r="K32" s="146">
        <v>2.17</v>
      </c>
      <c r="L32" s="1">
        <f t="shared" si="3"/>
        <v>0</v>
      </c>
      <c r="M32" s="1">
        <f t="shared" si="4"/>
        <v>0</v>
      </c>
      <c r="N32" s="1">
        <f t="shared" si="5"/>
        <v>0</v>
      </c>
      <c r="P32">
        <f t="shared" si="6"/>
        <v>125</v>
      </c>
      <c r="Q32" s="70">
        <f t="shared" si="7"/>
        <v>1066.97</v>
      </c>
    </row>
    <row r="33" spans="2:17" x14ac:dyDescent="0.25">
      <c r="B33" s="146">
        <v>130</v>
      </c>
      <c r="C33" s="146">
        <v>1069.3900000000001</v>
      </c>
      <c r="D33" s="146">
        <v>1061.0999999999999</v>
      </c>
      <c r="E33" s="1">
        <v>0</v>
      </c>
      <c r="F33" s="146">
        <f t="shared" si="11"/>
        <v>0.06</v>
      </c>
      <c r="G33" s="118">
        <f t="shared" si="8"/>
        <v>10</v>
      </c>
      <c r="H33" s="1">
        <f t="shared" si="1"/>
        <v>0</v>
      </c>
      <c r="I33" s="1">
        <f t="shared" si="2"/>
        <v>0</v>
      </c>
      <c r="J33" s="146">
        <v>5.09</v>
      </c>
      <c r="K33" s="146">
        <v>2.17</v>
      </c>
      <c r="L33" s="1">
        <f t="shared" si="3"/>
        <v>0</v>
      </c>
      <c r="M33" s="1">
        <f t="shared" si="4"/>
        <v>0</v>
      </c>
      <c r="N33" s="1">
        <f t="shared" si="5"/>
        <v>0</v>
      </c>
      <c r="P33">
        <f t="shared" si="6"/>
        <v>135</v>
      </c>
      <c r="Q33" s="70">
        <f t="shared" si="7"/>
        <v>1069.3900000000001</v>
      </c>
    </row>
    <row r="34" spans="2:17" x14ac:dyDescent="0.25">
      <c r="B34" s="146">
        <v>140</v>
      </c>
      <c r="C34" s="146">
        <v>1071.8399999999999</v>
      </c>
      <c r="D34" s="146">
        <v>1061.0999999999999</v>
      </c>
      <c r="E34" s="1">
        <v>0</v>
      </c>
      <c r="F34" s="146">
        <f t="shared" si="11"/>
        <v>0.06</v>
      </c>
      <c r="G34" s="118">
        <f t="shared" si="8"/>
        <v>10</v>
      </c>
      <c r="H34" s="1">
        <f t="shared" si="1"/>
        <v>0</v>
      </c>
      <c r="I34" s="1">
        <f t="shared" si="2"/>
        <v>0</v>
      </c>
      <c r="J34" s="146">
        <v>5.09</v>
      </c>
      <c r="K34" s="146">
        <v>2.17</v>
      </c>
      <c r="L34" s="1">
        <f t="shared" si="3"/>
        <v>0</v>
      </c>
      <c r="M34" s="1">
        <f t="shared" si="4"/>
        <v>0</v>
      </c>
      <c r="N34" s="1">
        <f t="shared" si="5"/>
        <v>0</v>
      </c>
      <c r="P34">
        <f t="shared" si="6"/>
        <v>145</v>
      </c>
      <c r="Q34" s="70">
        <f t="shared" si="7"/>
        <v>1071.8399999999999</v>
      </c>
    </row>
    <row r="35" spans="2:17" x14ac:dyDescent="0.25">
      <c r="B35" s="146">
        <v>150</v>
      </c>
      <c r="C35" s="146">
        <v>1074.67</v>
      </c>
      <c r="D35" s="146">
        <v>1061.0999999999999</v>
      </c>
      <c r="E35" s="1">
        <v>0</v>
      </c>
      <c r="F35" s="146">
        <f t="shared" si="11"/>
        <v>0.06</v>
      </c>
      <c r="G35" s="118"/>
      <c r="H35" s="146"/>
      <c r="I35" s="146"/>
      <c r="J35" s="146"/>
      <c r="K35" s="146"/>
      <c r="L35" s="146"/>
      <c r="M35" s="146"/>
      <c r="N35" s="146"/>
      <c r="P35">
        <f t="shared" si="6"/>
        <v>75</v>
      </c>
      <c r="Q35" s="70">
        <f t="shared" si="7"/>
        <v>1074.67</v>
      </c>
    </row>
  </sheetData>
  <sheetProtection selectLockedCells="1" selectUnlockedCells="1"/>
  <mergeCells count="2">
    <mergeCell ref="F13:F14"/>
    <mergeCell ref="K13:K1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F119"/>
  <sheetViews>
    <sheetView topLeftCell="A4" workbookViewId="0">
      <selection activeCell="D14" sqref="D14"/>
    </sheetView>
  </sheetViews>
  <sheetFormatPr baseColWidth="10" defaultRowHeight="15" x14ac:dyDescent="0.25"/>
  <cols>
    <col min="3" max="3" width="17" customWidth="1"/>
    <col min="5" max="5" width="16.140625" customWidth="1"/>
    <col min="6" max="6" width="13" customWidth="1"/>
    <col min="31" max="31" width="15.28515625" bestFit="1" customWidth="1"/>
    <col min="32" max="32" width="13.7109375" bestFit="1" customWidth="1"/>
    <col min="35" max="35" width="13.7109375" bestFit="1" customWidth="1"/>
    <col min="38" max="38" width="13.7109375" bestFit="1" customWidth="1"/>
    <col min="48" max="48" width="13.7109375" bestFit="1" customWidth="1"/>
    <col min="51" max="51" width="13.7109375" bestFit="1" customWidth="1"/>
    <col min="59" max="59" width="3" style="185" customWidth="1"/>
    <col min="63" max="63" width="14.28515625" bestFit="1" customWidth="1"/>
    <col min="64" max="64" width="14.28515625" customWidth="1"/>
    <col min="104" max="104" width="14.5703125" bestFit="1" customWidth="1"/>
  </cols>
  <sheetData>
    <row r="1" spans="3:110" x14ac:dyDescent="0.25">
      <c r="BC1" s="20">
        <v>1</v>
      </c>
      <c r="BD1" s="178"/>
      <c r="BE1" s="178"/>
      <c r="BF1" s="178"/>
      <c r="BG1" s="179"/>
      <c r="BI1" s="20">
        <v>1</v>
      </c>
      <c r="BJ1" s="178"/>
      <c r="CJ1" s="20">
        <v>1</v>
      </c>
      <c r="CO1" t="s">
        <v>389</v>
      </c>
      <c r="CQ1" s="20">
        <v>0.15</v>
      </c>
    </row>
    <row r="2" spans="3:110" x14ac:dyDescent="0.25">
      <c r="BC2" s="178"/>
      <c r="BD2" s="178"/>
      <c r="BE2" s="178"/>
      <c r="BF2" s="178"/>
      <c r="BG2" s="179"/>
      <c r="BI2" s="178"/>
      <c r="BJ2" s="178"/>
      <c r="CO2" t="s">
        <v>388</v>
      </c>
      <c r="CQ2" s="20">
        <v>1</v>
      </c>
    </row>
    <row r="3" spans="3:110" x14ac:dyDescent="0.25">
      <c r="J3" s="59"/>
      <c r="AB3" s="260" t="s">
        <v>342</v>
      </c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O3" s="260" t="s">
        <v>343</v>
      </c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B3" s="247" t="s">
        <v>353</v>
      </c>
      <c r="BC3" s="248"/>
      <c r="BD3" s="248"/>
      <c r="BE3" s="248"/>
      <c r="BF3" s="249"/>
      <c r="BG3" s="180"/>
      <c r="BH3" s="247" t="s">
        <v>354</v>
      </c>
      <c r="BI3" s="248"/>
      <c r="BJ3" s="248"/>
      <c r="BK3" s="248"/>
      <c r="BL3" s="249"/>
      <c r="CZ3" s="247" t="s">
        <v>357</v>
      </c>
      <c r="DA3" s="248"/>
      <c r="DB3" s="248"/>
      <c r="DC3" s="249"/>
      <c r="DE3" s="222" t="s">
        <v>375</v>
      </c>
      <c r="DF3" s="223"/>
    </row>
    <row r="4" spans="3:110" x14ac:dyDescent="0.25">
      <c r="P4" s="260" t="s">
        <v>330</v>
      </c>
      <c r="Q4" s="260"/>
      <c r="R4" s="260"/>
      <c r="S4" s="260"/>
      <c r="T4" s="260"/>
      <c r="U4" s="260"/>
      <c r="V4" s="260"/>
      <c r="W4" s="260"/>
      <c r="X4" s="260"/>
      <c r="Y4" s="260"/>
      <c r="Z4" s="260"/>
      <c r="AB4" s="257" t="s">
        <v>340</v>
      </c>
      <c r="AC4" s="258"/>
      <c r="AD4" s="258"/>
      <c r="AE4" s="258"/>
      <c r="AF4" s="259"/>
      <c r="AG4" s="257" t="s">
        <v>341</v>
      </c>
      <c r="AH4" s="258"/>
      <c r="AI4" s="259"/>
      <c r="AJ4" s="257" t="s">
        <v>339</v>
      </c>
      <c r="AK4" s="258"/>
      <c r="AL4" s="259"/>
      <c r="AM4" s="165" t="s">
        <v>329</v>
      </c>
      <c r="AO4" s="257" t="s">
        <v>340</v>
      </c>
      <c r="AP4" s="258"/>
      <c r="AQ4" s="258"/>
      <c r="AR4" s="258"/>
      <c r="AS4" s="259"/>
      <c r="AT4" s="257" t="s">
        <v>341</v>
      </c>
      <c r="AU4" s="258"/>
      <c r="AV4" s="259"/>
      <c r="AW4" s="257" t="s">
        <v>339</v>
      </c>
      <c r="AX4" s="258"/>
      <c r="AY4" s="259"/>
      <c r="AZ4" s="165" t="s">
        <v>329</v>
      </c>
      <c r="BB4" s="222"/>
      <c r="BC4" s="224"/>
      <c r="BD4" s="223"/>
      <c r="BE4" s="214" t="s">
        <v>345</v>
      </c>
      <c r="BF4" s="214"/>
      <c r="BG4" s="181"/>
      <c r="BH4" s="214"/>
      <c r="BI4" s="214"/>
      <c r="BJ4" s="214"/>
      <c r="BK4" s="214" t="s">
        <v>345</v>
      </c>
      <c r="BL4" s="214"/>
      <c r="BN4" s="260" t="s">
        <v>344</v>
      </c>
      <c r="BO4" s="260"/>
      <c r="BP4" s="260"/>
      <c r="BQ4" s="260"/>
      <c r="BR4" s="260"/>
      <c r="BS4" s="260" t="s">
        <v>347</v>
      </c>
      <c r="BT4" s="260"/>
      <c r="BU4" s="260"/>
      <c r="BV4" s="260"/>
      <c r="BW4" s="260"/>
      <c r="BX4" s="260" t="s">
        <v>349</v>
      </c>
      <c r="BY4" s="260"/>
      <c r="BZ4" s="260"/>
      <c r="CA4" s="260"/>
      <c r="CB4" s="260"/>
      <c r="CC4" s="260" t="s">
        <v>348</v>
      </c>
      <c r="CD4" s="260"/>
      <c r="CE4" s="260"/>
      <c r="CF4" s="260"/>
      <c r="CG4" s="260"/>
      <c r="CI4" s="260" t="s">
        <v>350</v>
      </c>
      <c r="CJ4" s="260"/>
      <c r="CK4" s="166" t="s">
        <v>351</v>
      </c>
      <c r="CL4" s="214" t="s">
        <v>386</v>
      </c>
      <c r="CM4" s="214"/>
      <c r="CN4" s="214"/>
      <c r="CO4" s="214"/>
      <c r="CP4" s="214" t="s">
        <v>387</v>
      </c>
      <c r="CQ4" s="214"/>
      <c r="CR4" s="214"/>
      <c r="CS4" s="214"/>
      <c r="CT4" s="214" t="s">
        <v>390</v>
      </c>
      <c r="CU4" s="214"/>
      <c r="CV4" s="214"/>
      <c r="CW4" s="214"/>
      <c r="CX4" s="33" t="s">
        <v>43</v>
      </c>
      <c r="CZ4" s="169" t="s">
        <v>356</v>
      </c>
      <c r="DA4" s="169" t="s">
        <v>205</v>
      </c>
      <c r="DB4" s="169" t="s">
        <v>184</v>
      </c>
      <c r="DC4" s="168" t="s">
        <v>358</v>
      </c>
      <c r="DE4" s="175" t="s">
        <v>369</v>
      </c>
      <c r="DF4" s="175" t="s">
        <v>374</v>
      </c>
    </row>
    <row r="5" spans="3:110" x14ac:dyDescent="0.25">
      <c r="C5" s="19" t="s">
        <v>312</v>
      </c>
      <c r="H5" s="19" t="s">
        <v>316</v>
      </c>
      <c r="P5" s="161">
        <v>1.2</v>
      </c>
      <c r="Q5" s="161">
        <v>1.3</v>
      </c>
      <c r="R5" s="161">
        <v>1.4</v>
      </c>
      <c r="S5" s="161" t="s">
        <v>327</v>
      </c>
      <c r="T5" s="161" t="s">
        <v>328</v>
      </c>
      <c r="V5" s="161">
        <v>1.2</v>
      </c>
      <c r="W5" s="161">
        <v>1.3</v>
      </c>
      <c r="X5" s="161">
        <v>1.4</v>
      </c>
      <c r="Y5" s="161" t="s">
        <v>327</v>
      </c>
      <c r="Z5" s="161" t="s">
        <v>328</v>
      </c>
      <c r="AB5" s="159" t="s">
        <v>331</v>
      </c>
      <c r="AC5" s="159" t="s">
        <v>332</v>
      </c>
      <c r="AD5" s="159" t="s">
        <v>333</v>
      </c>
      <c r="AE5" s="159" t="s">
        <v>334</v>
      </c>
      <c r="AF5" s="159" t="s">
        <v>335</v>
      </c>
      <c r="AG5" s="159" t="s">
        <v>332</v>
      </c>
      <c r="AH5" s="159" t="s">
        <v>336</v>
      </c>
      <c r="AI5" s="159" t="s">
        <v>335</v>
      </c>
      <c r="AJ5" s="159" t="s">
        <v>338</v>
      </c>
      <c r="AK5" s="159" t="s">
        <v>336</v>
      </c>
      <c r="AL5" s="159" t="s">
        <v>335</v>
      </c>
      <c r="AM5" s="159" t="s">
        <v>337</v>
      </c>
      <c r="AO5" s="159" t="s">
        <v>331</v>
      </c>
      <c r="AP5" s="159" t="s">
        <v>332</v>
      </c>
      <c r="AQ5" s="159" t="s">
        <v>333</v>
      </c>
      <c r="AR5" s="159" t="s">
        <v>334</v>
      </c>
      <c r="AS5" s="159" t="s">
        <v>335</v>
      </c>
      <c r="AT5" s="159" t="s">
        <v>332</v>
      </c>
      <c r="AU5" s="159" t="s">
        <v>336</v>
      </c>
      <c r="AV5" s="159" t="s">
        <v>335</v>
      </c>
      <c r="AW5" s="159" t="s">
        <v>338</v>
      </c>
      <c r="AX5" s="159" t="s">
        <v>336</v>
      </c>
      <c r="AY5" s="159" t="s">
        <v>335</v>
      </c>
      <c r="AZ5" s="159" t="s">
        <v>337</v>
      </c>
      <c r="BB5" s="171" t="s">
        <v>43</v>
      </c>
      <c r="BC5" s="171" t="s">
        <v>336</v>
      </c>
      <c r="BD5" s="171" t="s">
        <v>352</v>
      </c>
      <c r="BE5" s="168" t="s">
        <v>346</v>
      </c>
      <c r="BF5" s="168" t="s">
        <v>336</v>
      </c>
      <c r="BG5" s="182"/>
      <c r="BH5" s="171" t="s">
        <v>43</v>
      </c>
      <c r="BI5" s="23" t="s">
        <v>336</v>
      </c>
      <c r="BJ5" s="168" t="s">
        <v>352</v>
      </c>
      <c r="BK5" s="168" t="s">
        <v>346</v>
      </c>
      <c r="BL5" s="168" t="s">
        <v>336</v>
      </c>
      <c r="BN5" s="164">
        <v>1.2</v>
      </c>
      <c r="BO5" s="164">
        <v>1.3</v>
      </c>
      <c r="BP5" s="164">
        <v>1.4</v>
      </c>
      <c r="BQ5" s="164" t="s">
        <v>327</v>
      </c>
      <c r="BR5" s="164" t="s">
        <v>328</v>
      </c>
      <c r="BS5" s="164">
        <v>1.2</v>
      </c>
      <c r="BT5" s="164">
        <v>1.3</v>
      </c>
      <c r="BU5" s="164">
        <v>1.4</v>
      </c>
      <c r="BV5" s="164" t="s">
        <v>327</v>
      </c>
      <c r="BW5" s="164" t="s">
        <v>328</v>
      </c>
      <c r="BX5" s="164">
        <v>1.2</v>
      </c>
      <c r="BY5" s="164">
        <v>1.3</v>
      </c>
      <c r="BZ5" s="164">
        <v>1.4</v>
      </c>
      <c r="CA5" s="164" t="s">
        <v>327</v>
      </c>
      <c r="CB5" s="164" t="s">
        <v>328</v>
      </c>
      <c r="CC5" s="164">
        <v>1.2</v>
      </c>
      <c r="CD5" s="164">
        <v>1.3</v>
      </c>
      <c r="CE5" s="164">
        <v>1.4</v>
      </c>
      <c r="CF5" s="164" t="s">
        <v>327</v>
      </c>
      <c r="CG5" s="164" t="s">
        <v>328</v>
      </c>
      <c r="CI5" s="213" t="s">
        <v>385</v>
      </c>
      <c r="CJ5" s="213"/>
      <c r="CK5" s="166" t="s">
        <v>313</v>
      </c>
      <c r="CL5" s="193">
        <v>1.2</v>
      </c>
      <c r="CM5" s="193">
        <v>1.4</v>
      </c>
      <c r="CN5" s="193" t="s">
        <v>327</v>
      </c>
      <c r="CO5" s="193" t="s">
        <v>328</v>
      </c>
      <c r="CP5" s="193">
        <v>1.2</v>
      </c>
      <c r="CQ5" s="193">
        <v>1.4</v>
      </c>
      <c r="CR5" s="193" t="s">
        <v>327</v>
      </c>
      <c r="CS5" s="193" t="s">
        <v>328</v>
      </c>
      <c r="CT5" s="193">
        <v>1.2</v>
      </c>
      <c r="CU5" s="193">
        <v>1.4</v>
      </c>
      <c r="CV5" s="193" t="s">
        <v>327</v>
      </c>
      <c r="CW5" s="193" t="s">
        <v>328</v>
      </c>
      <c r="CX5" s="33" t="s">
        <v>366</v>
      </c>
      <c r="CZ5" s="166" t="s">
        <v>64</v>
      </c>
      <c r="DA5" s="166" t="s">
        <v>64</v>
      </c>
      <c r="DB5" s="166" t="s">
        <v>64</v>
      </c>
      <c r="DC5" s="168" t="s">
        <v>313</v>
      </c>
      <c r="DE5" s="175" t="s">
        <v>95</v>
      </c>
      <c r="DF5" s="175" t="s">
        <v>95</v>
      </c>
    </row>
    <row r="6" spans="3:110" x14ac:dyDescent="0.25">
      <c r="N6">
        <v>1</v>
      </c>
      <c r="O6" s="24">
        <f>Alcantarillas!E11</f>
        <v>118.5</v>
      </c>
      <c r="P6" s="160">
        <f>IF(Alcantarillas!J11=1.2,1,0)</f>
        <v>1</v>
      </c>
      <c r="Q6" s="160">
        <f>IF(Alcantarillas!J11=1.3,1,0)</f>
        <v>0</v>
      </c>
      <c r="R6" s="160">
        <f>IF(Alcantarillas!J11=1.4,1,0)</f>
        <v>0</v>
      </c>
      <c r="S6" s="160">
        <f>IF(Alcantarillas!L11=1.2,1,0)</f>
        <v>0</v>
      </c>
      <c r="T6" s="160">
        <f>IF(Alcantarillas!L11=1.5,1,0)</f>
        <v>0</v>
      </c>
      <c r="V6" s="160">
        <f>IF(Alcantarillas!J11=1.2,Alcantarillas!AX11,0)</f>
        <v>11.95</v>
      </c>
      <c r="W6" s="160">
        <f>IF(Alcantarillas!J11=1.3,Alcantarillas!AX11,0)</f>
        <v>0</v>
      </c>
      <c r="X6" s="160">
        <f>IF(Alcantarillas!J11=1.4,Alcantarillas!AX11,0)</f>
        <v>0</v>
      </c>
      <c r="Y6" s="160">
        <f>IF(Alcantarillas!L11=1.2,Alcantarillas!AX11,0)</f>
        <v>0</v>
      </c>
      <c r="Z6" s="160">
        <f>IF(Alcantarillas!L11=1.5,Alcantarillas!AX11,0)</f>
        <v>0</v>
      </c>
      <c r="AB6" s="21">
        <v>2.6</v>
      </c>
      <c r="AC6" s="5">
        <f>IF(P6=1,2.2,IF(Q6=1,2.3,IF(R6=1,2.4,IF(S6=1,2.2,IF(T6=1,2.5,)))))</f>
        <v>2.2000000000000002</v>
      </c>
      <c r="AD6" s="21">
        <v>0.2</v>
      </c>
      <c r="AE6" s="5">
        <f>IF(P6=1,PI()*(1.2^2)/4,IF(Q6=1,PI()*(1.3^2)/4,IF(R6=1,PI()*(1.4^2)/4,IF(S6=1,1.2*1.2,IF(T6=1,1.5*1.5,)))))</f>
        <v>1.1309733552923256</v>
      </c>
      <c r="AF6" s="5">
        <f>((AB6*AC6)-AE6)*AD6</f>
        <v>0.9178053289415351</v>
      </c>
      <c r="AG6" s="21">
        <v>2.12</v>
      </c>
      <c r="AH6" s="5">
        <f>(AG6*AB6)-((AG6*(AG6/1.5))/2)</f>
        <v>4.0138666666666669</v>
      </c>
      <c r="AI6" s="5">
        <f>AH6*AD6</f>
        <v>0.80277333333333345</v>
      </c>
      <c r="AJ6" s="5">
        <f>AC6+(2*1.5)</f>
        <v>5.2</v>
      </c>
      <c r="AK6" s="5">
        <f>(AJ6+AC6)*1.5/2</f>
        <v>5.5500000000000007</v>
      </c>
      <c r="AL6" s="5">
        <f>AK6*AD6</f>
        <v>1.1100000000000001</v>
      </c>
      <c r="AM6" s="5">
        <f>AF6+AI6+AL6</f>
        <v>2.8305786622748688</v>
      </c>
      <c r="AO6" s="21">
        <v>1.55</v>
      </c>
      <c r="AP6" s="5">
        <f>IF(P6=1,2.2,IF(Q6=1,2.3,IF(R6=1,2.4,IF(S6=1,2.2,IF(T6=1,2.5,)))))</f>
        <v>2.2000000000000002</v>
      </c>
      <c r="AQ6" s="21">
        <v>0.2</v>
      </c>
      <c r="AR6" s="5">
        <f>IF(P6=1,PI()*(1.2^2)/4,IF(Q6=1,PI()*(1.3^2)/4,IF(R6=1,PI()*(1.4^2)/4,IF(S6=1,1.2*1.2,IF(T6=1,1.5*1.5,)))))</f>
        <v>1.1309733552923256</v>
      </c>
      <c r="AS6" s="5">
        <f>((AO6*AP6)-AR6)*AQ6</f>
        <v>0.45580532894153497</v>
      </c>
      <c r="AT6" s="21">
        <v>2.12</v>
      </c>
      <c r="AU6" s="5">
        <f>(AT6*AO6)-((AT6*(AT6/1.5))/2)</f>
        <v>1.7878666666666672</v>
      </c>
      <c r="AV6" s="5">
        <f>AU6*AQ6</f>
        <v>0.35757333333333347</v>
      </c>
      <c r="AW6" s="5">
        <f>AP6+(2*1.5)</f>
        <v>5.2</v>
      </c>
      <c r="AX6" s="5">
        <f>(AW6+AP6)*1.5/2</f>
        <v>5.5500000000000007</v>
      </c>
      <c r="AY6" s="5">
        <f>AX6*AQ6</f>
        <v>1.1100000000000001</v>
      </c>
      <c r="AZ6" s="5">
        <f>AS6+AV6+AY6</f>
        <v>1.9233786622748685</v>
      </c>
      <c r="BB6" s="163"/>
      <c r="BC6" s="163"/>
      <c r="BD6" s="118"/>
      <c r="BE6" s="118"/>
      <c r="BF6" s="118"/>
      <c r="BG6" s="183"/>
      <c r="BH6" s="163"/>
      <c r="BI6" s="167"/>
      <c r="BJ6" s="167"/>
      <c r="BK6" s="167"/>
      <c r="BL6" s="167"/>
      <c r="BN6" s="5">
        <f t="shared" ref="BN6:BN37" si="0">IF(P6=1,AM6+AZ6,0)</f>
        <v>4.7539573245497371</v>
      </c>
      <c r="BO6" s="5">
        <f t="shared" ref="BO6:BO37" si="1">IF(Q6=1,AM6+AZ6,0)</f>
        <v>0</v>
      </c>
      <c r="BP6" s="5">
        <f t="shared" ref="BP6:BP37" si="2">IF(R6=1,AM6+AZ6,0)</f>
        <v>0</v>
      </c>
      <c r="BQ6" s="5">
        <f t="shared" ref="BQ6:BQ37" si="3">IF(S6=1,AM6+AZ6,0)</f>
        <v>0</v>
      </c>
      <c r="BR6" s="5">
        <f t="shared" ref="BR6:BR37" si="4">IF(T6=1,AM6+AZ6,0)</f>
        <v>0</v>
      </c>
      <c r="BS6" s="163">
        <f t="shared" ref="BS6:BS37" si="5">IF(P6=1,IF(AB6&lt;&gt;0,1,0),0)</f>
        <v>1</v>
      </c>
      <c r="BT6" s="163">
        <f t="shared" ref="BT6:BT37" si="6">IF(Q6=1,IF(AB6&lt;&gt;0,1,0),0)</f>
        <v>0</v>
      </c>
      <c r="BU6" s="163">
        <f t="shared" ref="BU6:BU37" si="7">IF(R6=1,IF(AB6&lt;&gt;0,1,0),0)</f>
        <v>0</v>
      </c>
      <c r="BV6" s="163">
        <f t="shared" ref="BV6:BV37" si="8">IF(S6=1,IF(AB6&lt;&gt;0,1,0),0)</f>
        <v>0</v>
      </c>
      <c r="BW6" s="163">
        <f t="shared" ref="BW6:BW37" si="9">IF(T6=1,IF(AB6&lt;&gt;0,1,0),0)</f>
        <v>0</v>
      </c>
      <c r="BX6" s="163">
        <f t="shared" ref="BX6:BX37" si="10">IF(P6=1,IF(AO6&lt;&gt;0,1,0),0)</f>
        <v>1</v>
      </c>
      <c r="BY6" s="163">
        <f t="shared" ref="BY6:BY37" si="11">IF(Q6=1,IF(AO6&lt;&gt;0,1,0),0)</f>
        <v>0</v>
      </c>
      <c r="BZ6" s="163">
        <f t="shared" ref="BZ6:BZ37" si="12">IF(R6=1,IF(AO6&lt;&gt;0,1,0),0)</f>
        <v>0</v>
      </c>
      <c r="CA6" s="163">
        <f t="shared" ref="CA6:CA37" si="13">IF(S6=1,IF(AO6&lt;&gt;0,1,0),0)</f>
        <v>0</v>
      </c>
      <c r="CB6" s="163">
        <f t="shared" ref="CB6:CB37" si="14">IF(T6=1,IF(AO6&lt;&gt;0,1,0),0)</f>
        <v>0</v>
      </c>
      <c r="CC6" s="163">
        <f>BS6+BX6</f>
        <v>2</v>
      </c>
      <c r="CD6" s="163">
        <f t="shared" ref="CD6:CF6" si="15">BT6+BY6</f>
        <v>0</v>
      </c>
      <c r="CE6" s="163">
        <f t="shared" si="15"/>
        <v>0</v>
      </c>
      <c r="CF6" s="163">
        <f t="shared" si="15"/>
        <v>0</v>
      </c>
      <c r="CG6" s="163">
        <f>BW6+CB6</f>
        <v>0</v>
      </c>
      <c r="CI6" s="167"/>
      <c r="CJ6" s="167"/>
      <c r="CK6" s="5"/>
      <c r="CL6" s="5"/>
      <c r="CM6" s="5" t="str">
        <f>IF(R6=1,1.9,"")</f>
        <v/>
      </c>
      <c r="CN6" s="5" t="str">
        <f>IF(S6=1,1.7,"")</f>
        <v/>
      </c>
      <c r="CO6" s="5" t="str">
        <f>IF(T6=1,2,"")</f>
        <v/>
      </c>
      <c r="CP6" s="5" t="str">
        <f>IF(CL6="","",((CI6*CL6)+(CJ6*CL6)+($CQ$2*CL6))*$CQ$1)</f>
        <v/>
      </c>
      <c r="CQ6" s="5" t="str">
        <f>IF(CM6="","",((CI6*CM6)+(CJ6*CM6)+($CQ$2*CM6))*$CQ$1)</f>
        <v/>
      </c>
      <c r="CR6" s="5" t="str">
        <f>IF(CN6="","",((CI6*CN6)+(CJ6*CN6)+($CQ$2*CN6))*$CQ$1)</f>
        <v/>
      </c>
      <c r="CS6" s="5" t="str">
        <f>IF(CO6="","",((CI6*CO6)+(CJ6*CO6)+($CQ$2*CO6))*$CQ$1)</f>
        <v/>
      </c>
      <c r="CT6" s="50">
        <f>IF(CP6="",0,1)</f>
        <v>0</v>
      </c>
      <c r="CU6" s="50">
        <f>IF(CQ6="",0,1)</f>
        <v>0</v>
      </c>
      <c r="CV6" s="50">
        <f>IF(CR6="",0,1)</f>
        <v>0</v>
      </c>
      <c r="CW6" s="50">
        <f>IF(CS6="",0,1)</f>
        <v>0</v>
      </c>
      <c r="CX6" s="190">
        <f>IF(CI6="",0,1)</f>
        <v>0</v>
      </c>
      <c r="CZ6" s="1">
        <v>2</v>
      </c>
      <c r="DA6" s="28">
        <f>IF(P6=1,1.7,IF(Q6=1,1.8,IF(R6=1,1.9,IF(S6=1,1.7,IF(T6=1,1.8,)))))</f>
        <v>1.7</v>
      </c>
      <c r="DB6" s="1">
        <f>Alcantarillas!AX11</f>
        <v>11.95</v>
      </c>
      <c r="DC6" s="5">
        <f>CZ6*DA6*DB6</f>
        <v>40.629999999999995</v>
      </c>
      <c r="DE6" s="28">
        <f>BB6*((2*1.5*1)+(5*(AW6+(2*$BC$1))))</f>
        <v>0</v>
      </c>
      <c r="DF6" s="172">
        <f>BH6*((2*1.5*0.2)+(3.4*(AW6+(2*$BI$1))))</f>
        <v>0</v>
      </c>
    </row>
    <row r="7" spans="3:110" x14ac:dyDescent="0.25">
      <c r="C7" s="240" t="s">
        <v>82</v>
      </c>
      <c r="D7" s="153" t="s">
        <v>314</v>
      </c>
      <c r="E7" s="153" t="s">
        <v>86</v>
      </c>
      <c r="F7" s="153" t="s">
        <v>317</v>
      </c>
      <c r="H7" s="241" t="s">
        <v>318</v>
      </c>
      <c r="I7" s="155" t="s">
        <v>87</v>
      </c>
      <c r="J7" s="241" t="s">
        <v>43</v>
      </c>
      <c r="K7" s="155" t="s">
        <v>314</v>
      </c>
      <c r="N7">
        <v>2</v>
      </c>
      <c r="O7" s="24">
        <f>Alcantarillas!E12</f>
        <v>250</v>
      </c>
      <c r="P7" s="160">
        <f>IF(Alcantarillas!J12=1.2,1,0)</f>
        <v>1</v>
      </c>
      <c r="Q7" s="160">
        <f>IF(Alcantarillas!J12=1.3,1,0)</f>
        <v>0</v>
      </c>
      <c r="R7" s="160">
        <f>IF(Alcantarillas!J12=1.4,1,0)</f>
        <v>0</v>
      </c>
      <c r="S7" s="160">
        <f>IF(Alcantarillas!L12=1.2,1,0)</f>
        <v>0</v>
      </c>
      <c r="T7" s="160">
        <f>IF(Alcantarillas!L12=1.5,1,0)</f>
        <v>0</v>
      </c>
      <c r="V7" s="160">
        <f>IF(Alcantarillas!J12=1.2,Alcantarillas!AX12,0)</f>
        <v>10.35</v>
      </c>
      <c r="W7" s="160">
        <f>IF(Alcantarillas!J12=1.3,Alcantarillas!AX12,0)</f>
        <v>0</v>
      </c>
      <c r="X7" s="160">
        <f>IF(Alcantarillas!J12=1.4,Alcantarillas!AX12,0)</f>
        <v>0</v>
      </c>
      <c r="Y7" s="160">
        <f>IF(Alcantarillas!L12=1.2,Alcantarillas!AX12,0)</f>
        <v>0</v>
      </c>
      <c r="Z7" s="160">
        <f>IF(Alcantarillas!L12=1.5,Alcantarillas!AX12,0)</f>
        <v>0</v>
      </c>
      <c r="AB7" s="21"/>
      <c r="AC7" s="5">
        <f t="shared" ref="AC7:AC70" si="16">IF(P7=1,2.2,IF(Q7=1,2.3,IF(R7=1,2.4,IF(S7=1,2.2,IF(T7=1,2.5,)))))</f>
        <v>2.2000000000000002</v>
      </c>
      <c r="AD7" s="21"/>
      <c r="AE7" s="5">
        <f t="shared" ref="AE7:AE70" si="17">IF(P7=1,PI()*(1.2^2)/4,IF(Q7=1,PI()*(1.3^2)/4,IF(R7=1,PI()*(1.4^2)/4,IF(S7=1,1.2*1.2,IF(T7=1,1.5*1.5,)))))</f>
        <v>1.1309733552923256</v>
      </c>
      <c r="AF7" s="5">
        <f t="shared" ref="AF7:AF70" si="18">((AB7*AC7)-AE7)*AD7</f>
        <v>0</v>
      </c>
      <c r="AG7" s="21"/>
      <c r="AH7" s="5">
        <f t="shared" ref="AH7:AH70" si="19">(AG7*AB7)-((AG7*(AG7/1.5))/2)</f>
        <v>0</v>
      </c>
      <c r="AI7" s="5">
        <f t="shared" ref="AI7:AI70" si="20">AH7*AD7</f>
        <v>0</v>
      </c>
      <c r="AJ7" s="5">
        <f t="shared" ref="AJ7:AJ70" si="21">AC7+(2*1.5)</f>
        <v>5.2</v>
      </c>
      <c r="AK7" s="5">
        <f t="shared" ref="AK7:AK70" si="22">(AJ7+AC7)*1.5/2</f>
        <v>5.5500000000000007</v>
      </c>
      <c r="AL7" s="5">
        <f t="shared" ref="AL7:AL70" si="23">AK7*AD7</f>
        <v>0</v>
      </c>
      <c r="AM7" s="5">
        <f t="shared" ref="AM7:AM70" si="24">AF7+AI7+AL7</f>
        <v>0</v>
      </c>
      <c r="AO7" s="21">
        <v>1.9</v>
      </c>
      <c r="AP7" s="5">
        <f t="shared" ref="AP7:AP70" si="25">IF(P7=1,2.2,IF(Q7=1,2.3,IF(R7=1,2.4,IF(S7=1,2.2,IF(T7=1,2.5,)))))</f>
        <v>2.2000000000000002</v>
      </c>
      <c r="AQ7" s="21">
        <v>0.2</v>
      </c>
      <c r="AR7" s="5">
        <f t="shared" ref="AR7:AR70" si="26">IF(P7=1,PI()*(1.2^2)/4,IF(Q7=1,PI()*(1.3^2)/4,IF(R7=1,PI()*(1.4^2)/4,IF(S7=1,1.2*1.2,IF(T7=1,1.5*1.5,)))))</f>
        <v>1.1309733552923256</v>
      </c>
      <c r="AS7" s="5">
        <f t="shared" ref="AS7:AS70" si="27">((AO7*AP7)-AR7)*AQ7</f>
        <v>0.60980532894153494</v>
      </c>
      <c r="AT7" s="21">
        <v>2.12</v>
      </c>
      <c r="AU7" s="5">
        <f t="shared" ref="AU7:AU70" si="28">(AT7*AO7)-((AT7*(AT7/1.5))/2)</f>
        <v>2.529866666666666</v>
      </c>
      <c r="AV7" s="5">
        <f t="shared" ref="AV7:AV70" si="29">AU7*AQ7</f>
        <v>0.50597333333333327</v>
      </c>
      <c r="AW7" s="5">
        <f t="shared" ref="AW7:AW70" si="30">AP7+(2*1.5)</f>
        <v>5.2</v>
      </c>
      <c r="AX7" s="5">
        <f t="shared" ref="AX7:AX70" si="31">(AW7+AP7)*1.5/2</f>
        <v>5.5500000000000007</v>
      </c>
      <c r="AY7" s="5">
        <f t="shared" ref="AY7:AY70" si="32">AX7*AQ7</f>
        <v>1.1100000000000001</v>
      </c>
      <c r="AZ7" s="5">
        <f t="shared" ref="AZ7:AZ70" si="33">AS7+AV7+AY7</f>
        <v>2.2257786622748683</v>
      </c>
      <c r="BB7" s="163"/>
      <c r="BC7" s="163"/>
      <c r="BD7" s="118"/>
      <c r="BE7" s="118"/>
      <c r="BF7" s="118"/>
      <c r="BG7" s="183"/>
      <c r="BH7" s="163"/>
      <c r="BI7" s="167"/>
      <c r="BJ7" s="167"/>
      <c r="BK7" s="167"/>
      <c r="BL7" s="167"/>
      <c r="BN7" s="5">
        <f t="shared" si="0"/>
        <v>2.2257786622748683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163">
        <f t="shared" si="5"/>
        <v>0</v>
      </c>
      <c r="BT7" s="163">
        <f t="shared" si="6"/>
        <v>0</v>
      </c>
      <c r="BU7" s="163">
        <f t="shared" si="7"/>
        <v>0</v>
      </c>
      <c r="BV7" s="163">
        <f t="shared" si="8"/>
        <v>0</v>
      </c>
      <c r="BW7" s="163">
        <f t="shared" si="9"/>
        <v>0</v>
      </c>
      <c r="BX7" s="163">
        <f t="shared" si="10"/>
        <v>1</v>
      </c>
      <c r="BY7" s="163">
        <f t="shared" si="11"/>
        <v>0</v>
      </c>
      <c r="BZ7" s="163">
        <f t="shared" si="12"/>
        <v>0</v>
      </c>
      <c r="CA7" s="163">
        <f t="shared" si="13"/>
        <v>0</v>
      </c>
      <c r="CB7" s="163">
        <f t="shared" si="14"/>
        <v>0</v>
      </c>
      <c r="CC7" s="163">
        <f t="shared" ref="CC7:CC70" si="34">BS7+BX7</f>
        <v>1</v>
      </c>
      <c r="CD7" s="163">
        <f t="shared" ref="CD7:CD70" si="35">BT7+BY7</f>
        <v>0</v>
      </c>
      <c r="CE7" s="163">
        <f t="shared" ref="CE7:CE70" si="36">BU7+BZ7</f>
        <v>0</v>
      </c>
      <c r="CF7" s="163">
        <f t="shared" ref="CF7:CF70" si="37">BV7+CA7</f>
        <v>0</v>
      </c>
      <c r="CG7" s="163">
        <f t="shared" ref="CG7:CG70" si="38">BW7+CB7</f>
        <v>0</v>
      </c>
      <c r="CI7" s="167">
        <v>2.9</v>
      </c>
      <c r="CJ7" s="167">
        <v>1.9</v>
      </c>
      <c r="CK7" s="5">
        <f>((CI7+CJ7)*$CJ$1/2)*AC7</f>
        <v>5.28</v>
      </c>
      <c r="CL7" s="5">
        <f t="shared" ref="CL7:CL70" si="39">IF(P7=1,1.7,"")</f>
        <v>1.7</v>
      </c>
      <c r="CM7" s="5" t="str">
        <f t="shared" ref="CM7:CM70" si="40">IF(R7=1,1.9,"")</f>
        <v/>
      </c>
      <c r="CN7" s="5" t="str">
        <f t="shared" ref="CN7:CN70" si="41">IF(S7=1,1.7,"")</f>
        <v/>
      </c>
      <c r="CO7" s="5" t="str">
        <f t="shared" ref="CO7:CO70" si="42">IF(T7=1,2,"")</f>
        <v/>
      </c>
      <c r="CP7" s="5">
        <f>IF(CL7="","",((CI7*CL7)+(CJ7*CL7)+($CQ$2*CL7))*$CQ$1)</f>
        <v>1.4789999999999999</v>
      </c>
      <c r="CQ7" s="5" t="str">
        <f t="shared" ref="CQ7:CQ70" si="43">IF(CM7="","",((CI7*CM7)+(CJ7*CM7)+($CQ$2*CM7))*$CQ$1)</f>
        <v/>
      </c>
      <c r="CR7" s="5" t="str">
        <f t="shared" ref="CR7:CR70" si="44">IF(CN7="","",((CI7*CN7)+(CJ7*CN7)+($CQ$2*CN7))*$CQ$1)</f>
        <v/>
      </c>
      <c r="CS7" s="5" t="str">
        <f t="shared" ref="CS7:CS70" si="45">IF(CO7="","",((CI7*CO7)+(CJ7*CO7)+($CQ$2*CO7))*$CQ$1)</f>
        <v/>
      </c>
      <c r="CT7" s="50">
        <f t="shared" ref="CT7:CT70" si="46">IF(CP7="",0,1)</f>
        <v>1</v>
      </c>
      <c r="CU7" s="50">
        <f t="shared" ref="CU7:CU70" si="47">IF(CQ7="",0,1)</f>
        <v>0</v>
      </c>
      <c r="CV7" s="50">
        <f t="shared" ref="CV7:CV70" si="48">IF(CR7="",0,1)</f>
        <v>0</v>
      </c>
      <c r="CW7" s="50">
        <f t="shared" ref="CW7:CW70" si="49">IF(CS7="",0,1)</f>
        <v>0</v>
      </c>
      <c r="CX7" s="190">
        <f>IF(CI7="",0,1)</f>
        <v>1</v>
      </c>
      <c r="CZ7" s="1">
        <v>1.95</v>
      </c>
      <c r="DA7" s="167">
        <f t="shared" ref="DA7:DA70" si="50">IF(P7=1,1.7,IF(Q7=1,1.8,IF(R7=1,1.9,IF(S7=1,1.7,IF(T7=1,1.8,)))))</f>
        <v>1.7</v>
      </c>
      <c r="DB7" s="1">
        <f>Alcantarillas!AX12</f>
        <v>10.35</v>
      </c>
      <c r="DC7" s="5">
        <f t="shared" ref="DC7:DC70" si="51">CZ7*DA7*DB7</f>
        <v>34.310249999999996</v>
      </c>
      <c r="DE7" s="172">
        <f t="shared" ref="DE7:DE70" si="52">BB7*((2*1.5*1)+(5*(AW7+(2*$BC$1))))</f>
        <v>0</v>
      </c>
      <c r="DF7" s="172">
        <f t="shared" ref="DF7:DF70" si="53">BH7*((2*1.5*0.2)+(3.4*(AW7+(2*$BI$1))))</f>
        <v>0</v>
      </c>
    </row>
    <row r="8" spans="3:110" x14ac:dyDescent="0.25">
      <c r="C8" s="240"/>
      <c r="D8" s="153" t="s">
        <v>64</v>
      </c>
      <c r="E8" s="153" t="s">
        <v>95</v>
      </c>
      <c r="F8" s="153" t="s">
        <v>313</v>
      </c>
      <c r="H8" s="242"/>
      <c r="I8" s="155" t="s">
        <v>64</v>
      </c>
      <c r="J8" s="242"/>
      <c r="K8" s="153" t="s">
        <v>64</v>
      </c>
      <c r="N8">
        <v>3</v>
      </c>
      <c r="O8" s="24">
        <f>Alcantarillas!E13</f>
        <v>436.2</v>
      </c>
      <c r="P8" s="160">
        <f>IF(Alcantarillas!J13=1.2,1,0)</f>
        <v>1</v>
      </c>
      <c r="Q8" s="160">
        <f>IF(Alcantarillas!J13=1.3,1,0)</f>
        <v>0</v>
      </c>
      <c r="R8" s="160">
        <f>IF(Alcantarillas!J13=1.4,1,0)</f>
        <v>0</v>
      </c>
      <c r="S8" s="160">
        <f>IF(Alcantarillas!L13=1.2,1,0)</f>
        <v>0</v>
      </c>
      <c r="T8" s="160">
        <f>IF(Alcantarillas!L13=1.5,1,0)</f>
        <v>0</v>
      </c>
      <c r="V8" s="160">
        <f>IF(Alcantarillas!J13=1.2,Alcantarillas!AX13,0)</f>
        <v>15.4</v>
      </c>
      <c r="W8" s="160">
        <f>IF(Alcantarillas!J13=1.3,Alcantarillas!AX13,0)</f>
        <v>0</v>
      </c>
      <c r="X8" s="160">
        <f>IF(Alcantarillas!J13=1.4,Alcantarillas!AX13,0)</f>
        <v>0</v>
      </c>
      <c r="Y8" s="160">
        <f>IF(Alcantarillas!L13=1.2,Alcantarillas!AX13,0)</f>
        <v>0</v>
      </c>
      <c r="Z8" s="160">
        <f>IF(Alcantarillas!L13=1.5,Alcantarillas!AX13,0)</f>
        <v>0</v>
      </c>
      <c r="AB8" s="21">
        <v>1.9</v>
      </c>
      <c r="AC8" s="5">
        <f t="shared" si="16"/>
        <v>2.2000000000000002</v>
      </c>
      <c r="AD8" s="21">
        <v>0.2</v>
      </c>
      <c r="AE8" s="5">
        <f t="shared" si="17"/>
        <v>1.1309733552923256</v>
      </c>
      <c r="AF8" s="5">
        <f t="shared" si="18"/>
        <v>0.60980532894153494</v>
      </c>
      <c r="AG8" s="21">
        <v>2.12</v>
      </c>
      <c r="AH8" s="5">
        <f t="shared" si="19"/>
        <v>2.529866666666666</v>
      </c>
      <c r="AI8" s="5">
        <f t="shared" si="20"/>
        <v>0.50597333333333327</v>
      </c>
      <c r="AJ8" s="5">
        <f t="shared" si="21"/>
        <v>5.2</v>
      </c>
      <c r="AK8" s="5">
        <f t="shared" si="22"/>
        <v>5.5500000000000007</v>
      </c>
      <c r="AL8" s="5">
        <f t="shared" si="23"/>
        <v>1.1100000000000001</v>
      </c>
      <c r="AM8" s="5">
        <f t="shared" si="24"/>
        <v>2.2257786622748683</v>
      </c>
      <c r="AO8" s="21">
        <v>1.4</v>
      </c>
      <c r="AP8" s="5">
        <f t="shared" si="25"/>
        <v>2.2000000000000002</v>
      </c>
      <c r="AQ8" s="21">
        <v>0.2</v>
      </c>
      <c r="AR8" s="5">
        <f t="shared" si="26"/>
        <v>1.1309733552923256</v>
      </c>
      <c r="AS8" s="5">
        <f t="shared" si="27"/>
        <v>0.38980532894153491</v>
      </c>
      <c r="AT8" s="21">
        <v>2.12</v>
      </c>
      <c r="AU8" s="5">
        <f t="shared" si="28"/>
        <v>1.4698666666666667</v>
      </c>
      <c r="AV8" s="5">
        <f t="shared" si="29"/>
        <v>0.29397333333333336</v>
      </c>
      <c r="AW8" s="5">
        <f t="shared" si="30"/>
        <v>5.2</v>
      </c>
      <c r="AX8" s="5">
        <f t="shared" si="31"/>
        <v>5.5500000000000007</v>
      </c>
      <c r="AY8" s="5">
        <f t="shared" si="32"/>
        <v>1.1100000000000001</v>
      </c>
      <c r="AZ8" s="5">
        <f t="shared" si="33"/>
        <v>1.7937786622748684</v>
      </c>
      <c r="BB8" s="163"/>
      <c r="BC8" s="163"/>
      <c r="BD8" s="118"/>
      <c r="BE8" s="118"/>
      <c r="BF8" s="118"/>
      <c r="BG8" s="183"/>
      <c r="BH8" s="163"/>
      <c r="BI8" s="167"/>
      <c r="BJ8" s="167"/>
      <c r="BK8" s="167"/>
      <c r="BL8" s="167"/>
      <c r="BN8" s="5">
        <f t="shared" si="0"/>
        <v>4.0195573245497371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163">
        <f t="shared" si="5"/>
        <v>1</v>
      </c>
      <c r="BT8" s="163">
        <f t="shared" si="6"/>
        <v>0</v>
      </c>
      <c r="BU8" s="163">
        <f t="shared" si="7"/>
        <v>0</v>
      </c>
      <c r="BV8" s="163">
        <f t="shared" si="8"/>
        <v>0</v>
      </c>
      <c r="BW8" s="163">
        <f t="shared" si="9"/>
        <v>0</v>
      </c>
      <c r="BX8" s="163">
        <f t="shared" si="10"/>
        <v>1</v>
      </c>
      <c r="BY8" s="163">
        <f t="shared" si="11"/>
        <v>0</v>
      </c>
      <c r="BZ8" s="163">
        <f t="shared" si="12"/>
        <v>0</v>
      </c>
      <c r="CA8" s="163">
        <f t="shared" si="13"/>
        <v>0</v>
      </c>
      <c r="CB8" s="163">
        <f t="shared" si="14"/>
        <v>0</v>
      </c>
      <c r="CC8" s="163">
        <f t="shared" si="34"/>
        <v>2</v>
      </c>
      <c r="CD8" s="163">
        <f t="shared" si="35"/>
        <v>0</v>
      </c>
      <c r="CE8" s="163">
        <f t="shared" si="36"/>
        <v>0</v>
      </c>
      <c r="CF8" s="163">
        <f t="shared" si="37"/>
        <v>0</v>
      </c>
      <c r="CG8" s="163">
        <f t="shared" si="38"/>
        <v>0</v>
      </c>
      <c r="CI8" s="167"/>
      <c r="CJ8" s="167"/>
      <c r="CK8" s="5"/>
      <c r="CL8" s="5"/>
      <c r="CM8" s="5" t="str">
        <f t="shared" si="40"/>
        <v/>
      </c>
      <c r="CN8" s="5" t="str">
        <f t="shared" si="41"/>
        <v/>
      </c>
      <c r="CO8" s="5" t="str">
        <f t="shared" si="42"/>
        <v/>
      </c>
      <c r="CP8" s="5" t="str">
        <f t="shared" ref="CP8:CP71" si="54">IF(CL8="","",((CI8*CL8)+(CJ8*CL8)+($CQ$2*CL8))*$CQ$1)</f>
        <v/>
      </c>
      <c r="CQ8" s="5" t="str">
        <f t="shared" si="43"/>
        <v/>
      </c>
      <c r="CR8" s="5" t="str">
        <f t="shared" si="44"/>
        <v/>
      </c>
      <c r="CS8" s="5" t="str">
        <f t="shared" si="45"/>
        <v/>
      </c>
      <c r="CT8" s="50">
        <f t="shared" si="46"/>
        <v>0</v>
      </c>
      <c r="CU8" s="50">
        <f t="shared" si="47"/>
        <v>0</v>
      </c>
      <c r="CV8" s="50">
        <f t="shared" si="48"/>
        <v>0</v>
      </c>
      <c r="CW8" s="50">
        <f t="shared" si="49"/>
        <v>0</v>
      </c>
      <c r="CX8" s="190">
        <f t="shared" ref="CX8:CX71" si="55">IF(CI8="",0,1)</f>
        <v>0</v>
      </c>
      <c r="CZ8" s="1">
        <v>2</v>
      </c>
      <c r="DA8" s="167">
        <f t="shared" si="50"/>
        <v>1.7</v>
      </c>
      <c r="DB8" s="1">
        <f>Alcantarillas!AX13</f>
        <v>15.4</v>
      </c>
      <c r="DC8" s="5">
        <f t="shared" si="51"/>
        <v>52.36</v>
      </c>
      <c r="DE8" s="172">
        <f t="shared" si="52"/>
        <v>0</v>
      </c>
      <c r="DF8" s="172">
        <f t="shared" si="53"/>
        <v>0</v>
      </c>
    </row>
    <row r="9" spans="3:110" x14ac:dyDescent="0.25">
      <c r="C9" s="154" t="s">
        <v>315</v>
      </c>
      <c r="D9" s="154">
        <f>28125*2</f>
        <v>56250</v>
      </c>
      <c r="E9" s="154">
        <v>8.2000000000000003E-2</v>
      </c>
      <c r="F9" s="50">
        <f>D9*E9</f>
        <v>4612.5</v>
      </c>
      <c r="H9" s="154" t="s">
        <v>319</v>
      </c>
      <c r="I9" s="154">
        <v>1.2</v>
      </c>
      <c r="J9" s="154">
        <f>P116</f>
        <v>99</v>
      </c>
      <c r="K9" s="50">
        <f>V116</f>
        <v>1359.75</v>
      </c>
      <c r="N9">
        <v>4</v>
      </c>
      <c r="O9" s="24">
        <f>Alcantarillas!E14</f>
        <v>858</v>
      </c>
      <c r="P9" s="160">
        <f>IF(Alcantarillas!J14=1.2,1,0)</f>
        <v>1</v>
      </c>
      <c r="Q9" s="160">
        <f>IF(Alcantarillas!J14=1.3,1,0)</f>
        <v>0</v>
      </c>
      <c r="R9" s="160">
        <f>IF(Alcantarillas!J14=1.4,1,0)</f>
        <v>0</v>
      </c>
      <c r="S9" s="160">
        <f>IF(Alcantarillas!L14=1.2,1,0)</f>
        <v>0</v>
      </c>
      <c r="T9" s="160">
        <f>IF(Alcantarillas!L14=1.5,1,0)</f>
        <v>0</v>
      </c>
      <c r="V9" s="160">
        <f>IF(Alcantarillas!J14=1.2,Alcantarillas!AX14,0)</f>
        <v>9.25</v>
      </c>
      <c r="W9" s="160">
        <f>IF(Alcantarillas!J14=1.3,Alcantarillas!AX14,0)</f>
        <v>0</v>
      </c>
      <c r="X9" s="160">
        <f>IF(Alcantarillas!J14=1.4,Alcantarillas!AX14,0)</f>
        <v>0</v>
      </c>
      <c r="Y9" s="160">
        <f>IF(Alcantarillas!L14=1.2,Alcantarillas!AX14,0)</f>
        <v>0</v>
      </c>
      <c r="Z9" s="160">
        <f>IF(Alcantarillas!L14=1.5,Alcantarillas!AX14,0)</f>
        <v>0</v>
      </c>
      <c r="AB9" s="21">
        <v>1.9</v>
      </c>
      <c r="AC9" s="5">
        <f t="shared" si="16"/>
        <v>2.2000000000000002</v>
      </c>
      <c r="AD9" s="21">
        <v>0.2</v>
      </c>
      <c r="AE9" s="5">
        <f t="shared" si="17"/>
        <v>1.1309733552923256</v>
      </c>
      <c r="AF9" s="5">
        <f t="shared" si="18"/>
        <v>0.60980532894153494</v>
      </c>
      <c r="AG9" s="21">
        <v>2.12</v>
      </c>
      <c r="AH9" s="5">
        <f t="shared" si="19"/>
        <v>2.529866666666666</v>
      </c>
      <c r="AI9" s="5">
        <f t="shared" si="20"/>
        <v>0.50597333333333327</v>
      </c>
      <c r="AJ9" s="5">
        <f t="shared" si="21"/>
        <v>5.2</v>
      </c>
      <c r="AK9" s="5">
        <f t="shared" si="22"/>
        <v>5.5500000000000007</v>
      </c>
      <c r="AL9" s="5">
        <f t="shared" si="23"/>
        <v>1.1100000000000001</v>
      </c>
      <c r="AM9" s="5">
        <f t="shared" si="24"/>
        <v>2.2257786622748683</v>
      </c>
      <c r="AO9" s="21">
        <v>1.9</v>
      </c>
      <c r="AP9" s="5">
        <f t="shared" si="25"/>
        <v>2.2000000000000002</v>
      </c>
      <c r="AQ9" s="21">
        <v>0.2</v>
      </c>
      <c r="AR9" s="5">
        <f t="shared" si="26"/>
        <v>1.1309733552923256</v>
      </c>
      <c r="AS9" s="5">
        <f t="shared" si="27"/>
        <v>0.60980532894153494</v>
      </c>
      <c r="AT9" s="21">
        <v>2.12</v>
      </c>
      <c r="AU9" s="5">
        <f t="shared" si="28"/>
        <v>2.529866666666666</v>
      </c>
      <c r="AV9" s="5">
        <f t="shared" si="29"/>
        <v>0.50597333333333327</v>
      </c>
      <c r="AW9" s="5">
        <f t="shared" si="30"/>
        <v>5.2</v>
      </c>
      <c r="AX9" s="5">
        <f t="shared" si="31"/>
        <v>5.5500000000000007</v>
      </c>
      <c r="AY9" s="5">
        <f t="shared" si="32"/>
        <v>1.1100000000000001</v>
      </c>
      <c r="AZ9" s="5">
        <f t="shared" si="33"/>
        <v>2.2257786622748683</v>
      </c>
      <c r="BB9" s="163"/>
      <c r="BC9" s="163"/>
      <c r="BD9" s="118"/>
      <c r="BE9" s="118"/>
      <c r="BF9" s="118"/>
      <c r="BG9" s="183"/>
      <c r="BH9" s="163"/>
      <c r="BI9" s="167"/>
      <c r="BJ9" s="167"/>
      <c r="BK9" s="167"/>
      <c r="BL9" s="167"/>
      <c r="BN9" s="5">
        <f t="shared" si="0"/>
        <v>4.4515573245497366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163">
        <f t="shared" si="5"/>
        <v>1</v>
      </c>
      <c r="BT9" s="163">
        <f t="shared" si="6"/>
        <v>0</v>
      </c>
      <c r="BU9" s="163">
        <f t="shared" si="7"/>
        <v>0</v>
      </c>
      <c r="BV9" s="163">
        <f t="shared" si="8"/>
        <v>0</v>
      </c>
      <c r="BW9" s="163">
        <f t="shared" si="9"/>
        <v>0</v>
      </c>
      <c r="BX9" s="163">
        <f t="shared" si="10"/>
        <v>1</v>
      </c>
      <c r="BY9" s="163">
        <f t="shared" si="11"/>
        <v>0</v>
      </c>
      <c r="BZ9" s="163">
        <f t="shared" si="12"/>
        <v>0</v>
      </c>
      <c r="CA9" s="163">
        <f t="shared" si="13"/>
        <v>0</v>
      </c>
      <c r="CB9" s="163">
        <f t="shared" si="14"/>
        <v>0</v>
      </c>
      <c r="CC9" s="163">
        <f t="shared" si="34"/>
        <v>2</v>
      </c>
      <c r="CD9" s="163">
        <f t="shared" si="35"/>
        <v>0</v>
      </c>
      <c r="CE9" s="163">
        <f t="shared" si="36"/>
        <v>0</v>
      </c>
      <c r="CF9" s="163">
        <f t="shared" si="37"/>
        <v>0</v>
      </c>
      <c r="CG9" s="163">
        <f t="shared" si="38"/>
        <v>0</v>
      </c>
      <c r="CI9" s="167"/>
      <c r="CJ9" s="167"/>
      <c r="CK9" s="5"/>
      <c r="CL9" s="5"/>
      <c r="CM9" s="5" t="str">
        <f t="shared" si="40"/>
        <v/>
      </c>
      <c r="CN9" s="5" t="str">
        <f t="shared" si="41"/>
        <v/>
      </c>
      <c r="CO9" s="5" t="str">
        <f t="shared" si="42"/>
        <v/>
      </c>
      <c r="CP9" s="5" t="str">
        <f t="shared" si="54"/>
        <v/>
      </c>
      <c r="CQ9" s="5" t="str">
        <f t="shared" si="43"/>
        <v/>
      </c>
      <c r="CR9" s="5" t="str">
        <f t="shared" si="44"/>
        <v/>
      </c>
      <c r="CS9" s="5" t="str">
        <f t="shared" si="45"/>
        <v/>
      </c>
      <c r="CT9" s="50">
        <f t="shared" si="46"/>
        <v>0</v>
      </c>
      <c r="CU9" s="50">
        <f t="shared" si="47"/>
        <v>0</v>
      </c>
      <c r="CV9" s="50">
        <f t="shared" si="48"/>
        <v>0</v>
      </c>
      <c r="CW9" s="50">
        <f t="shared" si="49"/>
        <v>0</v>
      </c>
      <c r="CX9" s="190">
        <f t="shared" si="55"/>
        <v>0</v>
      </c>
      <c r="CZ9" s="1">
        <v>1.95</v>
      </c>
      <c r="DA9" s="167">
        <f t="shared" si="50"/>
        <v>1.7</v>
      </c>
      <c r="DB9" s="1">
        <f>Alcantarillas!AX14</f>
        <v>9.25</v>
      </c>
      <c r="DC9" s="5">
        <f t="shared" si="51"/>
        <v>30.66375</v>
      </c>
      <c r="DE9" s="172">
        <f t="shared" si="52"/>
        <v>0</v>
      </c>
      <c r="DF9" s="172">
        <f t="shared" si="53"/>
        <v>0</v>
      </c>
    </row>
    <row r="10" spans="3:110" x14ac:dyDescent="0.25">
      <c r="C10" s="156"/>
      <c r="H10" s="154" t="s">
        <v>319</v>
      </c>
      <c r="I10" s="154">
        <v>1.4</v>
      </c>
      <c r="J10" s="154">
        <f>R116</f>
        <v>4</v>
      </c>
      <c r="K10" s="50">
        <f>X116</f>
        <v>59.900000000000006</v>
      </c>
      <c r="N10">
        <v>5</v>
      </c>
      <c r="O10" s="24">
        <f>Alcantarillas!E15</f>
        <v>1040</v>
      </c>
      <c r="P10" s="160">
        <f>IF(Alcantarillas!J15=1.2,1,0)</f>
        <v>1</v>
      </c>
      <c r="Q10" s="160">
        <f>IF(Alcantarillas!J15=1.3,1,0)</f>
        <v>0</v>
      </c>
      <c r="R10" s="160">
        <f>IF(Alcantarillas!J15=1.4,1,0)</f>
        <v>0</v>
      </c>
      <c r="S10" s="160">
        <f>IF(Alcantarillas!L15=1.2,1,0)</f>
        <v>0</v>
      </c>
      <c r="T10" s="160">
        <f>IF(Alcantarillas!L15=1.5,1,0)</f>
        <v>0</v>
      </c>
      <c r="V10" s="160">
        <f>IF(Alcantarillas!J15=1.2,Alcantarillas!AX15,0)</f>
        <v>11.25</v>
      </c>
      <c r="W10" s="160">
        <f>IF(Alcantarillas!J15=1.3,Alcantarillas!AX15,0)</f>
        <v>0</v>
      </c>
      <c r="X10" s="160">
        <f>IF(Alcantarillas!J15=1.4,Alcantarillas!AX15,0)</f>
        <v>0</v>
      </c>
      <c r="Y10" s="160">
        <f>IF(Alcantarillas!L15=1.2,Alcantarillas!AX15,0)</f>
        <v>0</v>
      </c>
      <c r="Z10" s="160">
        <f>IF(Alcantarillas!L15=1.5,Alcantarillas!AX15,0)</f>
        <v>0</v>
      </c>
      <c r="AB10" s="21">
        <v>2.15</v>
      </c>
      <c r="AC10" s="5">
        <f t="shared" si="16"/>
        <v>2.2000000000000002</v>
      </c>
      <c r="AD10" s="21">
        <v>0.2</v>
      </c>
      <c r="AE10" s="5">
        <f t="shared" si="17"/>
        <v>1.1309733552923256</v>
      </c>
      <c r="AF10" s="5">
        <f t="shared" si="18"/>
        <v>0.71980532894153504</v>
      </c>
      <c r="AG10" s="21">
        <v>2.12</v>
      </c>
      <c r="AH10" s="5">
        <f t="shared" si="19"/>
        <v>3.0598666666666663</v>
      </c>
      <c r="AI10" s="5">
        <f t="shared" si="20"/>
        <v>0.61197333333333326</v>
      </c>
      <c r="AJ10" s="5">
        <f t="shared" si="21"/>
        <v>5.2</v>
      </c>
      <c r="AK10" s="5">
        <f t="shared" si="22"/>
        <v>5.5500000000000007</v>
      </c>
      <c r="AL10" s="5">
        <f t="shared" si="23"/>
        <v>1.1100000000000001</v>
      </c>
      <c r="AM10" s="5">
        <f t="shared" si="24"/>
        <v>2.4417786622748681</v>
      </c>
      <c r="AO10" s="21">
        <v>2.4</v>
      </c>
      <c r="AP10" s="5">
        <f t="shared" si="25"/>
        <v>2.2000000000000002</v>
      </c>
      <c r="AQ10" s="21">
        <v>0.2</v>
      </c>
      <c r="AR10" s="5">
        <f t="shared" si="26"/>
        <v>1.1309733552923256</v>
      </c>
      <c r="AS10" s="5">
        <f t="shared" si="27"/>
        <v>0.82980532894153503</v>
      </c>
      <c r="AT10" s="21">
        <v>2.12</v>
      </c>
      <c r="AU10" s="5">
        <f t="shared" si="28"/>
        <v>3.5898666666666665</v>
      </c>
      <c r="AV10" s="5">
        <f t="shared" si="29"/>
        <v>0.71797333333333335</v>
      </c>
      <c r="AW10" s="5">
        <f t="shared" si="30"/>
        <v>5.2</v>
      </c>
      <c r="AX10" s="5">
        <f t="shared" si="31"/>
        <v>5.5500000000000007</v>
      </c>
      <c r="AY10" s="5">
        <f t="shared" si="32"/>
        <v>1.1100000000000001</v>
      </c>
      <c r="AZ10" s="5">
        <f t="shared" si="33"/>
        <v>2.6577786622748683</v>
      </c>
      <c r="BB10" s="163"/>
      <c r="BC10" s="163"/>
      <c r="BD10" s="118"/>
      <c r="BE10" s="118"/>
      <c r="BF10" s="118"/>
      <c r="BG10" s="183"/>
      <c r="BH10" s="163"/>
      <c r="BI10" s="167"/>
      <c r="BJ10" s="167"/>
      <c r="BK10" s="167"/>
      <c r="BL10" s="167"/>
      <c r="BN10" s="5">
        <f t="shared" si="0"/>
        <v>5.0995573245497363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163">
        <f t="shared" si="5"/>
        <v>1</v>
      </c>
      <c r="BT10" s="163">
        <f t="shared" si="6"/>
        <v>0</v>
      </c>
      <c r="BU10" s="163">
        <f t="shared" si="7"/>
        <v>0</v>
      </c>
      <c r="BV10" s="163">
        <f t="shared" si="8"/>
        <v>0</v>
      </c>
      <c r="BW10" s="163">
        <f t="shared" si="9"/>
        <v>0</v>
      </c>
      <c r="BX10" s="163">
        <f t="shared" si="10"/>
        <v>1</v>
      </c>
      <c r="BY10" s="163">
        <f t="shared" si="11"/>
        <v>0</v>
      </c>
      <c r="BZ10" s="163">
        <f t="shared" si="12"/>
        <v>0</v>
      </c>
      <c r="CA10" s="163">
        <f t="shared" si="13"/>
        <v>0</v>
      </c>
      <c r="CB10" s="163">
        <f t="shared" si="14"/>
        <v>0</v>
      </c>
      <c r="CC10" s="163">
        <f t="shared" si="34"/>
        <v>2</v>
      </c>
      <c r="CD10" s="163">
        <f t="shared" si="35"/>
        <v>0</v>
      </c>
      <c r="CE10" s="163">
        <f t="shared" si="36"/>
        <v>0</v>
      </c>
      <c r="CF10" s="163">
        <f t="shared" si="37"/>
        <v>0</v>
      </c>
      <c r="CG10" s="163">
        <f t="shared" si="38"/>
        <v>0</v>
      </c>
      <c r="CI10" s="167"/>
      <c r="CJ10" s="167"/>
      <c r="CK10" s="5"/>
      <c r="CL10" s="5"/>
      <c r="CM10" s="5" t="str">
        <f t="shared" si="40"/>
        <v/>
      </c>
      <c r="CN10" s="5" t="str">
        <f t="shared" si="41"/>
        <v/>
      </c>
      <c r="CO10" s="5" t="str">
        <f t="shared" si="42"/>
        <v/>
      </c>
      <c r="CP10" s="5" t="str">
        <f t="shared" si="54"/>
        <v/>
      </c>
      <c r="CQ10" s="5" t="str">
        <f t="shared" si="43"/>
        <v/>
      </c>
      <c r="CR10" s="5" t="str">
        <f t="shared" si="44"/>
        <v/>
      </c>
      <c r="CS10" s="5" t="str">
        <f t="shared" si="45"/>
        <v/>
      </c>
      <c r="CT10" s="50">
        <f t="shared" si="46"/>
        <v>0</v>
      </c>
      <c r="CU10" s="50">
        <f t="shared" si="47"/>
        <v>0</v>
      </c>
      <c r="CV10" s="50">
        <f t="shared" si="48"/>
        <v>0</v>
      </c>
      <c r="CW10" s="50">
        <f t="shared" si="49"/>
        <v>0</v>
      </c>
      <c r="CX10" s="190">
        <f t="shared" si="55"/>
        <v>0</v>
      </c>
      <c r="CZ10" s="1">
        <v>2</v>
      </c>
      <c r="DA10" s="167">
        <f t="shared" si="50"/>
        <v>1.7</v>
      </c>
      <c r="DB10" s="1">
        <f>Alcantarillas!AX15</f>
        <v>11.25</v>
      </c>
      <c r="DC10" s="5">
        <f t="shared" si="51"/>
        <v>38.25</v>
      </c>
      <c r="DE10" s="172">
        <f t="shared" si="52"/>
        <v>0</v>
      </c>
      <c r="DF10" s="172">
        <f t="shared" si="53"/>
        <v>0</v>
      </c>
    </row>
    <row r="11" spans="3:110" x14ac:dyDescent="0.25">
      <c r="H11" s="154" t="s">
        <v>320</v>
      </c>
      <c r="I11" s="154" t="s">
        <v>321</v>
      </c>
      <c r="J11" s="154">
        <f>S116</f>
        <v>3</v>
      </c>
      <c r="K11" s="50">
        <f>Y116</f>
        <v>40.549999999999997</v>
      </c>
      <c r="N11">
        <v>6</v>
      </c>
      <c r="O11" s="24">
        <f>Alcantarillas!E16</f>
        <v>1321.5</v>
      </c>
      <c r="P11" s="160">
        <f>IF(Alcantarillas!J16=1.2,1,0)</f>
        <v>1</v>
      </c>
      <c r="Q11" s="160">
        <f>IF(Alcantarillas!J16=1.3,1,0)</f>
        <v>0</v>
      </c>
      <c r="R11" s="160">
        <f>IF(Alcantarillas!J16=1.4,1,0)</f>
        <v>0</v>
      </c>
      <c r="S11" s="160">
        <f>IF(Alcantarillas!L16=1.2,1,0)</f>
        <v>0</v>
      </c>
      <c r="T11" s="160">
        <f>IF(Alcantarillas!L16=1.5,1,0)</f>
        <v>0</v>
      </c>
      <c r="V11" s="160">
        <f>IF(Alcantarillas!J16=1.2,Alcantarillas!AX16,0)</f>
        <v>10.1</v>
      </c>
      <c r="W11" s="160">
        <f>IF(Alcantarillas!J16=1.3,Alcantarillas!AX16,0)</f>
        <v>0</v>
      </c>
      <c r="X11" s="160">
        <f>IF(Alcantarillas!J16=1.4,Alcantarillas!AX16,0)</f>
        <v>0</v>
      </c>
      <c r="Y11" s="160">
        <f>IF(Alcantarillas!L16=1.2,Alcantarillas!AX16,0)</f>
        <v>0</v>
      </c>
      <c r="Z11" s="160">
        <f>IF(Alcantarillas!L16=1.5,Alcantarillas!AX16,0)</f>
        <v>0</v>
      </c>
      <c r="AB11" s="21"/>
      <c r="AC11" s="5">
        <f t="shared" si="16"/>
        <v>2.2000000000000002</v>
      </c>
      <c r="AD11" s="21"/>
      <c r="AE11" s="5">
        <f t="shared" si="17"/>
        <v>1.1309733552923256</v>
      </c>
      <c r="AF11" s="5">
        <f t="shared" si="18"/>
        <v>0</v>
      </c>
      <c r="AG11" s="21"/>
      <c r="AH11" s="5">
        <f t="shared" si="19"/>
        <v>0</v>
      </c>
      <c r="AI11" s="5">
        <f t="shared" si="20"/>
        <v>0</v>
      </c>
      <c r="AJ11" s="5">
        <f t="shared" si="21"/>
        <v>5.2</v>
      </c>
      <c r="AK11" s="5">
        <f t="shared" si="22"/>
        <v>5.5500000000000007</v>
      </c>
      <c r="AL11" s="5">
        <f t="shared" si="23"/>
        <v>0</v>
      </c>
      <c r="AM11" s="5">
        <f t="shared" si="24"/>
        <v>0</v>
      </c>
      <c r="AO11" s="21">
        <v>2.2000000000000002</v>
      </c>
      <c r="AP11" s="5">
        <f t="shared" si="25"/>
        <v>2.2000000000000002</v>
      </c>
      <c r="AQ11" s="21">
        <v>0.2</v>
      </c>
      <c r="AR11" s="5">
        <f t="shared" si="26"/>
        <v>1.1309733552923256</v>
      </c>
      <c r="AS11" s="5">
        <f t="shared" si="27"/>
        <v>0.74180532894153517</v>
      </c>
      <c r="AT11" s="21">
        <v>2.12</v>
      </c>
      <c r="AU11" s="5">
        <f t="shared" si="28"/>
        <v>3.1658666666666671</v>
      </c>
      <c r="AV11" s="5">
        <f t="shared" si="29"/>
        <v>0.63317333333333348</v>
      </c>
      <c r="AW11" s="5">
        <f t="shared" si="30"/>
        <v>5.2</v>
      </c>
      <c r="AX11" s="5">
        <f t="shared" si="31"/>
        <v>5.5500000000000007</v>
      </c>
      <c r="AY11" s="5">
        <f t="shared" si="32"/>
        <v>1.1100000000000001</v>
      </c>
      <c r="AZ11" s="5">
        <f t="shared" si="33"/>
        <v>2.4849786622748686</v>
      </c>
      <c r="BB11" s="163"/>
      <c r="BC11" s="163"/>
      <c r="BD11" s="118"/>
      <c r="BE11" s="118"/>
      <c r="BF11" s="118"/>
      <c r="BG11" s="183"/>
      <c r="BH11" s="163"/>
      <c r="BI11" s="167"/>
      <c r="BJ11" s="167"/>
      <c r="BK11" s="167"/>
      <c r="BL11" s="167"/>
      <c r="BN11" s="5">
        <f t="shared" si="0"/>
        <v>2.4849786622748686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163">
        <f t="shared" si="5"/>
        <v>0</v>
      </c>
      <c r="BT11" s="163">
        <f t="shared" si="6"/>
        <v>0</v>
      </c>
      <c r="BU11" s="163">
        <f t="shared" si="7"/>
        <v>0</v>
      </c>
      <c r="BV11" s="163">
        <f t="shared" si="8"/>
        <v>0</v>
      </c>
      <c r="BW11" s="163">
        <f t="shared" si="9"/>
        <v>0</v>
      </c>
      <c r="BX11" s="163">
        <f t="shared" si="10"/>
        <v>1</v>
      </c>
      <c r="BY11" s="163">
        <f t="shared" si="11"/>
        <v>0</v>
      </c>
      <c r="BZ11" s="163">
        <f t="shared" si="12"/>
        <v>0</v>
      </c>
      <c r="CA11" s="163">
        <f t="shared" si="13"/>
        <v>0</v>
      </c>
      <c r="CB11" s="163">
        <f t="shared" si="14"/>
        <v>0</v>
      </c>
      <c r="CC11" s="163">
        <f t="shared" si="34"/>
        <v>1</v>
      </c>
      <c r="CD11" s="163">
        <f t="shared" si="35"/>
        <v>0</v>
      </c>
      <c r="CE11" s="163">
        <f t="shared" si="36"/>
        <v>0</v>
      </c>
      <c r="CF11" s="163">
        <f t="shared" si="37"/>
        <v>0</v>
      </c>
      <c r="CG11" s="163">
        <f t="shared" si="38"/>
        <v>0</v>
      </c>
      <c r="CI11" s="167">
        <v>3.4</v>
      </c>
      <c r="CJ11" s="167">
        <v>1.9</v>
      </c>
      <c r="CK11" s="5">
        <f t="shared" ref="CK11:CK71" si="56">((CI11+CJ11)*$CJ$1/2)*AC11</f>
        <v>5.83</v>
      </c>
      <c r="CL11" s="5">
        <f t="shared" si="39"/>
        <v>1.7</v>
      </c>
      <c r="CM11" s="5" t="str">
        <f t="shared" si="40"/>
        <v/>
      </c>
      <c r="CN11" s="5" t="str">
        <f t="shared" si="41"/>
        <v/>
      </c>
      <c r="CO11" s="5" t="str">
        <f t="shared" si="42"/>
        <v/>
      </c>
      <c r="CP11" s="5">
        <f t="shared" si="54"/>
        <v>1.6064999999999998</v>
      </c>
      <c r="CQ11" s="5" t="str">
        <f t="shared" si="43"/>
        <v/>
      </c>
      <c r="CR11" s="5" t="str">
        <f t="shared" si="44"/>
        <v/>
      </c>
      <c r="CS11" s="5" t="str">
        <f t="shared" si="45"/>
        <v/>
      </c>
      <c r="CT11" s="50">
        <f t="shared" si="46"/>
        <v>1</v>
      </c>
      <c r="CU11" s="50">
        <f t="shared" si="47"/>
        <v>0</v>
      </c>
      <c r="CV11" s="50">
        <f t="shared" si="48"/>
        <v>0</v>
      </c>
      <c r="CW11" s="50">
        <f t="shared" si="49"/>
        <v>0</v>
      </c>
      <c r="CX11" s="190">
        <f t="shared" si="55"/>
        <v>1</v>
      </c>
      <c r="CZ11" s="1">
        <v>1.95</v>
      </c>
      <c r="DA11" s="167">
        <f t="shared" si="50"/>
        <v>1.7</v>
      </c>
      <c r="DB11" s="1">
        <f>Alcantarillas!AX16</f>
        <v>10.1</v>
      </c>
      <c r="DC11" s="5">
        <f t="shared" si="51"/>
        <v>33.481499999999997</v>
      </c>
      <c r="DE11" s="172">
        <f t="shared" si="52"/>
        <v>0</v>
      </c>
      <c r="DF11" s="172">
        <f t="shared" si="53"/>
        <v>0</v>
      </c>
    </row>
    <row r="12" spans="3:110" x14ac:dyDescent="0.25">
      <c r="H12" s="154" t="s">
        <v>320</v>
      </c>
      <c r="I12" s="154" t="s">
        <v>322</v>
      </c>
      <c r="J12" s="154">
        <f>T116</f>
        <v>4</v>
      </c>
      <c r="K12" s="50">
        <f>Z116</f>
        <v>77.25</v>
      </c>
      <c r="N12">
        <v>7</v>
      </c>
      <c r="O12" s="24">
        <f>Alcantarillas!E17</f>
        <v>1440</v>
      </c>
      <c r="P12" s="160">
        <f>IF(Alcantarillas!J17=1.2,1,0)</f>
        <v>1</v>
      </c>
      <c r="Q12" s="160">
        <f>IF(Alcantarillas!J17=1.3,1,0)</f>
        <v>0</v>
      </c>
      <c r="R12" s="160">
        <f>IF(Alcantarillas!J17=1.4,1,0)</f>
        <v>0</v>
      </c>
      <c r="S12" s="160">
        <f>IF(Alcantarillas!L17=1.2,1,0)</f>
        <v>0</v>
      </c>
      <c r="T12" s="160">
        <f>IF(Alcantarillas!L17=1.5,1,0)</f>
        <v>0</v>
      </c>
      <c r="V12" s="160">
        <f>IF(Alcantarillas!J17=1.2,Alcantarillas!AX17,0)</f>
        <v>10.25</v>
      </c>
      <c r="W12" s="160">
        <f>IF(Alcantarillas!J17=1.3,Alcantarillas!AX17,0)</f>
        <v>0</v>
      </c>
      <c r="X12" s="160">
        <f>IF(Alcantarillas!J17=1.4,Alcantarillas!AX17,0)</f>
        <v>0</v>
      </c>
      <c r="Y12" s="160">
        <f>IF(Alcantarillas!L17=1.2,Alcantarillas!AX17,0)</f>
        <v>0</v>
      </c>
      <c r="Z12" s="160">
        <f>IF(Alcantarillas!L17=1.5,Alcantarillas!AX17,0)</f>
        <v>0</v>
      </c>
      <c r="AB12" s="21"/>
      <c r="AC12" s="5">
        <f t="shared" si="16"/>
        <v>2.2000000000000002</v>
      </c>
      <c r="AD12" s="21"/>
      <c r="AE12" s="5">
        <f t="shared" si="17"/>
        <v>1.1309733552923256</v>
      </c>
      <c r="AF12" s="5">
        <f t="shared" si="18"/>
        <v>0</v>
      </c>
      <c r="AG12" s="21"/>
      <c r="AH12" s="5">
        <f t="shared" si="19"/>
        <v>0</v>
      </c>
      <c r="AI12" s="5">
        <f t="shared" si="20"/>
        <v>0</v>
      </c>
      <c r="AJ12" s="5">
        <f t="shared" si="21"/>
        <v>5.2</v>
      </c>
      <c r="AK12" s="5">
        <f t="shared" si="22"/>
        <v>5.5500000000000007</v>
      </c>
      <c r="AL12" s="5">
        <f t="shared" si="23"/>
        <v>0</v>
      </c>
      <c r="AM12" s="5">
        <f t="shared" si="24"/>
        <v>0</v>
      </c>
      <c r="AO12" s="21">
        <v>1.9</v>
      </c>
      <c r="AP12" s="5">
        <f t="shared" si="25"/>
        <v>2.2000000000000002</v>
      </c>
      <c r="AQ12" s="21">
        <v>0.2</v>
      </c>
      <c r="AR12" s="5">
        <f t="shared" si="26"/>
        <v>1.1309733552923256</v>
      </c>
      <c r="AS12" s="5">
        <f t="shared" si="27"/>
        <v>0.60980532894153494</v>
      </c>
      <c r="AT12" s="21">
        <v>2.12</v>
      </c>
      <c r="AU12" s="5">
        <f t="shared" si="28"/>
        <v>2.529866666666666</v>
      </c>
      <c r="AV12" s="5">
        <f t="shared" si="29"/>
        <v>0.50597333333333327</v>
      </c>
      <c r="AW12" s="5">
        <f t="shared" si="30"/>
        <v>5.2</v>
      </c>
      <c r="AX12" s="5">
        <f t="shared" si="31"/>
        <v>5.5500000000000007</v>
      </c>
      <c r="AY12" s="5">
        <f t="shared" si="32"/>
        <v>1.1100000000000001</v>
      </c>
      <c r="AZ12" s="5">
        <f t="shared" si="33"/>
        <v>2.2257786622748683</v>
      </c>
      <c r="BB12" s="163"/>
      <c r="BC12" s="163"/>
      <c r="BD12" s="118"/>
      <c r="BE12" s="118"/>
      <c r="BF12" s="118"/>
      <c r="BG12" s="183"/>
      <c r="BH12" s="163"/>
      <c r="BI12" s="167"/>
      <c r="BJ12" s="167"/>
      <c r="BK12" s="167"/>
      <c r="BL12" s="167"/>
      <c r="BN12" s="5">
        <f t="shared" si="0"/>
        <v>2.2257786622748683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163">
        <f t="shared" si="5"/>
        <v>0</v>
      </c>
      <c r="BT12" s="163">
        <f t="shared" si="6"/>
        <v>0</v>
      </c>
      <c r="BU12" s="163">
        <f t="shared" si="7"/>
        <v>0</v>
      </c>
      <c r="BV12" s="163">
        <f t="shared" si="8"/>
        <v>0</v>
      </c>
      <c r="BW12" s="163">
        <f t="shared" si="9"/>
        <v>0</v>
      </c>
      <c r="BX12" s="163">
        <f t="shared" si="10"/>
        <v>1</v>
      </c>
      <c r="BY12" s="163">
        <f t="shared" si="11"/>
        <v>0</v>
      </c>
      <c r="BZ12" s="163">
        <f t="shared" si="12"/>
        <v>0</v>
      </c>
      <c r="CA12" s="163">
        <f t="shared" si="13"/>
        <v>0</v>
      </c>
      <c r="CB12" s="163">
        <f t="shared" si="14"/>
        <v>0</v>
      </c>
      <c r="CC12" s="163">
        <f t="shared" si="34"/>
        <v>1</v>
      </c>
      <c r="CD12" s="163">
        <f t="shared" si="35"/>
        <v>0</v>
      </c>
      <c r="CE12" s="163">
        <f t="shared" si="36"/>
        <v>0</v>
      </c>
      <c r="CF12" s="163">
        <f t="shared" si="37"/>
        <v>0</v>
      </c>
      <c r="CG12" s="163">
        <f t="shared" si="38"/>
        <v>0</v>
      </c>
      <c r="CI12" s="167">
        <v>4.5</v>
      </c>
      <c r="CJ12" s="167">
        <v>1.9</v>
      </c>
      <c r="CK12" s="5">
        <f t="shared" si="56"/>
        <v>7.0400000000000009</v>
      </c>
      <c r="CL12" s="5">
        <f t="shared" si="39"/>
        <v>1.7</v>
      </c>
      <c r="CM12" s="5" t="str">
        <f t="shared" si="40"/>
        <v/>
      </c>
      <c r="CN12" s="5" t="str">
        <f t="shared" si="41"/>
        <v/>
      </c>
      <c r="CO12" s="5" t="str">
        <f t="shared" si="42"/>
        <v/>
      </c>
      <c r="CP12" s="5">
        <f t="shared" si="54"/>
        <v>1.8869999999999996</v>
      </c>
      <c r="CQ12" s="5" t="str">
        <f t="shared" si="43"/>
        <v/>
      </c>
      <c r="CR12" s="5" t="str">
        <f t="shared" si="44"/>
        <v/>
      </c>
      <c r="CS12" s="5" t="str">
        <f t="shared" si="45"/>
        <v/>
      </c>
      <c r="CT12" s="50">
        <f t="shared" si="46"/>
        <v>1</v>
      </c>
      <c r="CU12" s="50">
        <f t="shared" si="47"/>
        <v>0</v>
      </c>
      <c r="CV12" s="50">
        <f t="shared" si="48"/>
        <v>0</v>
      </c>
      <c r="CW12" s="50">
        <f t="shared" si="49"/>
        <v>0</v>
      </c>
      <c r="CX12" s="190">
        <f t="shared" si="55"/>
        <v>1</v>
      </c>
      <c r="CZ12" s="1">
        <v>2</v>
      </c>
      <c r="DA12" s="167">
        <f t="shared" si="50"/>
        <v>1.7</v>
      </c>
      <c r="DB12" s="1">
        <f>Alcantarillas!AX17</f>
        <v>10.25</v>
      </c>
      <c r="DC12" s="5">
        <f t="shared" si="51"/>
        <v>34.85</v>
      </c>
      <c r="DE12" s="172">
        <f t="shared" si="52"/>
        <v>0</v>
      </c>
      <c r="DF12" s="172">
        <f t="shared" si="53"/>
        <v>0</v>
      </c>
    </row>
    <row r="13" spans="3:110" x14ac:dyDescent="0.25">
      <c r="J13">
        <f>SUM(J9:J12)</f>
        <v>110</v>
      </c>
      <c r="N13">
        <v>8</v>
      </c>
      <c r="O13" s="24">
        <f>Alcantarillas!E18</f>
        <v>1719.5</v>
      </c>
      <c r="P13" s="160">
        <f>IF(Alcantarillas!J18=1.2,1,0)</f>
        <v>1</v>
      </c>
      <c r="Q13" s="160">
        <f>IF(Alcantarillas!J18=1.3,1,0)</f>
        <v>0</v>
      </c>
      <c r="R13" s="160">
        <f>IF(Alcantarillas!J18=1.4,1,0)</f>
        <v>0</v>
      </c>
      <c r="S13" s="160">
        <f>IF(Alcantarillas!L18=1.2,1,0)</f>
        <v>0</v>
      </c>
      <c r="T13" s="160">
        <f>IF(Alcantarillas!L18=1.5,1,0)</f>
        <v>0</v>
      </c>
      <c r="V13" s="160">
        <f>IF(Alcantarillas!J18=1.2,Alcantarillas!AX18,0)</f>
        <v>11.25</v>
      </c>
      <c r="W13" s="160">
        <f>IF(Alcantarillas!J18=1.3,Alcantarillas!AX18,0)</f>
        <v>0</v>
      </c>
      <c r="X13" s="160">
        <f>IF(Alcantarillas!J18=1.4,Alcantarillas!AX18,0)</f>
        <v>0</v>
      </c>
      <c r="Y13" s="160">
        <f>IF(Alcantarillas!L18=1.2,Alcantarillas!AX18,0)</f>
        <v>0</v>
      </c>
      <c r="Z13" s="160">
        <f>IF(Alcantarillas!L18=1.5,Alcantarillas!AX18,0)</f>
        <v>0</v>
      </c>
      <c r="AB13" s="21"/>
      <c r="AC13" s="5">
        <f t="shared" si="16"/>
        <v>2.2000000000000002</v>
      </c>
      <c r="AD13" s="21"/>
      <c r="AE13" s="5">
        <f t="shared" si="17"/>
        <v>1.1309733552923256</v>
      </c>
      <c r="AF13" s="5">
        <f t="shared" si="18"/>
        <v>0</v>
      </c>
      <c r="AG13" s="21"/>
      <c r="AH13" s="5">
        <f t="shared" si="19"/>
        <v>0</v>
      </c>
      <c r="AI13" s="5">
        <f t="shared" si="20"/>
        <v>0</v>
      </c>
      <c r="AJ13" s="5">
        <f t="shared" si="21"/>
        <v>5.2</v>
      </c>
      <c r="AK13" s="5">
        <f t="shared" si="22"/>
        <v>5.5500000000000007</v>
      </c>
      <c r="AL13" s="5">
        <f t="shared" si="23"/>
        <v>0</v>
      </c>
      <c r="AM13" s="5">
        <f t="shared" si="24"/>
        <v>0</v>
      </c>
      <c r="AO13" s="21">
        <v>1.9</v>
      </c>
      <c r="AP13" s="5">
        <f t="shared" si="25"/>
        <v>2.2000000000000002</v>
      </c>
      <c r="AQ13" s="21">
        <v>0.2</v>
      </c>
      <c r="AR13" s="5">
        <f t="shared" si="26"/>
        <v>1.1309733552923256</v>
      </c>
      <c r="AS13" s="5">
        <f t="shared" si="27"/>
        <v>0.60980532894153494</v>
      </c>
      <c r="AT13" s="21">
        <v>2.12</v>
      </c>
      <c r="AU13" s="5">
        <f t="shared" si="28"/>
        <v>2.529866666666666</v>
      </c>
      <c r="AV13" s="5">
        <f t="shared" si="29"/>
        <v>0.50597333333333327</v>
      </c>
      <c r="AW13" s="5">
        <f t="shared" si="30"/>
        <v>5.2</v>
      </c>
      <c r="AX13" s="5">
        <f t="shared" si="31"/>
        <v>5.5500000000000007</v>
      </c>
      <c r="AY13" s="5">
        <f t="shared" si="32"/>
        <v>1.1100000000000001</v>
      </c>
      <c r="AZ13" s="5">
        <f t="shared" si="33"/>
        <v>2.2257786622748683</v>
      </c>
      <c r="BB13" s="163"/>
      <c r="BC13" s="163"/>
      <c r="BD13" s="118"/>
      <c r="BE13" s="118"/>
      <c r="BF13" s="118"/>
      <c r="BG13" s="183"/>
      <c r="BH13" s="163"/>
      <c r="BI13" s="167"/>
      <c r="BJ13" s="167"/>
      <c r="BK13" s="167"/>
      <c r="BL13" s="167"/>
      <c r="BN13" s="5">
        <f t="shared" si="0"/>
        <v>2.2257786622748683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163">
        <f t="shared" si="5"/>
        <v>0</v>
      </c>
      <c r="BT13" s="163">
        <f t="shared" si="6"/>
        <v>0</v>
      </c>
      <c r="BU13" s="163">
        <f t="shared" si="7"/>
        <v>0</v>
      </c>
      <c r="BV13" s="163">
        <f t="shared" si="8"/>
        <v>0</v>
      </c>
      <c r="BW13" s="163">
        <f t="shared" si="9"/>
        <v>0</v>
      </c>
      <c r="BX13" s="163">
        <f t="shared" si="10"/>
        <v>1</v>
      </c>
      <c r="BY13" s="163">
        <f t="shared" si="11"/>
        <v>0</v>
      </c>
      <c r="BZ13" s="163">
        <f t="shared" si="12"/>
        <v>0</v>
      </c>
      <c r="CA13" s="163">
        <f t="shared" si="13"/>
        <v>0</v>
      </c>
      <c r="CB13" s="163">
        <f t="shared" si="14"/>
        <v>0</v>
      </c>
      <c r="CC13" s="163">
        <f t="shared" si="34"/>
        <v>1</v>
      </c>
      <c r="CD13" s="163">
        <f t="shared" si="35"/>
        <v>0</v>
      </c>
      <c r="CE13" s="163">
        <f t="shared" si="36"/>
        <v>0</v>
      </c>
      <c r="CF13" s="163">
        <f t="shared" si="37"/>
        <v>0</v>
      </c>
      <c r="CG13" s="163">
        <f t="shared" si="38"/>
        <v>0</v>
      </c>
      <c r="CI13" s="167">
        <v>4.0999999999999996</v>
      </c>
      <c r="CJ13" s="167">
        <v>1.9</v>
      </c>
      <c r="CK13" s="5">
        <f t="shared" si="56"/>
        <v>6.6000000000000005</v>
      </c>
      <c r="CL13" s="5">
        <f t="shared" si="39"/>
        <v>1.7</v>
      </c>
      <c r="CM13" s="5" t="str">
        <f t="shared" si="40"/>
        <v/>
      </c>
      <c r="CN13" s="5" t="str">
        <f t="shared" si="41"/>
        <v/>
      </c>
      <c r="CO13" s="5" t="str">
        <f t="shared" si="42"/>
        <v/>
      </c>
      <c r="CP13" s="5">
        <f t="shared" si="54"/>
        <v>1.7849999999999997</v>
      </c>
      <c r="CQ13" s="5" t="str">
        <f t="shared" si="43"/>
        <v/>
      </c>
      <c r="CR13" s="5" t="str">
        <f t="shared" si="44"/>
        <v/>
      </c>
      <c r="CS13" s="5" t="str">
        <f t="shared" si="45"/>
        <v/>
      </c>
      <c r="CT13" s="50">
        <f t="shared" si="46"/>
        <v>1</v>
      </c>
      <c r="CU13" s="50">
        <f t="shared" si="47"/>
        <v>0</v>
      </c>
      <c r="CV13" s="50">
        <f t="shared" si="48"/>
        <v>0</v>
      </c>
      <c r="CW13" s="50">
        <f t="shared" si="49"/>
        <v>0</v>
      </c>
      <c r="CX13" s="190">
        <f t="shared" si="55"/>
        <v>1</v>
      </c>
      <c r="CZ13" s="1">
        <v>2</v>
      </c>
      <c r="DA13" s="167">
        <f t="shared" si="50"/>
        <v>1.7</v>
      </c>
      <c r="DB13" s="1">
        <f>Alcantarillas!AX18</f>
        <v>11.25</v>
      </c>
      <c r="DC13" s="5">
        <f t="shared" si="51"/>
        <v>38.25</v>
      </c>
      <c r="DE13" s="172">
        <f t="shared" si="52"/>
        <v>0</v>
      </c>
      <c r="DF13" s="172">
        <f t="shared" si="53"/>
        <v>0</v>
      </c>
    </row>
    <row r="14" spans="3:110" x14ac:dyDescent="0.25">
      <c r="N14">
        <v>9</v>
      </c>
      <c r="O14" s="24">
        <f>Alcantarillas!E19</f>
        <v>1905.6</v>
      </c>
      <c r="P14" s="160">
        <f>IF(Alcantarillas!J19=1.2,1,0)</f>
        <v>1</v>
      </c>
      <c r="Q14" s="160">
        <f>IF(Alcantarillas!J19=1.3,1,0)</f>
        <v>0</v>
      </c>
      <c r="R14" s="160">
        <f>IF(Alcantarillas!J19=1.4,1,0)</f>
        <v>0</v>
      </c>
      <c r="S14" s="160">
        <f>IF(Alcantarillas!L19=1.2,1,0)</f>
        <v>0</v>
      </c>
      <c r="T14" s="160">
        <f>IF(Alcantarillas!L19=1.5,1,0)</f>
        <v>0</v>
      </c>
      <c r="V14" s="160">
        <f>IF(Alcantarillas!J19=1.2,Alcantarillas!AX19,0)</f>
        <v>11.45</v>
      </c>
      <c r="W14" s="160">
        <f>IF(Alcantarillas!J19=1.3,Alcantarillas!AX19,0)</f>
        <v>0</v>
      </c>
      <c r="X14" s="160">
        <f>IF(Alcantarillas!J19=1.4,Alcantarillas!AX19,0)</f>
        <v>0</v>
      </c>
      <c r="Y14" s="160">
        <f>IF(Alcantarillas!L19=1.2,Alcantarillas!AX19,0)</f>
        <v>0</v>
      </c>
      <c r="Z14" s="160">
        <f>IF(Alcantarillas!L19=1.5,Alcantarillas!AX19,0)</f>
        <v>0</v>
      </c>
      <c r="AB14" s="21"/>
      <c r="AC14" s="5">
        <f t="shared" si="16"/>
        <v>2.2000000000000002</v>
      </c>
      <c r="AD14" s="21"/>
      <c r="AE14" s="5">
        <f t="shared" si="17"/>
        <v>1.1309733552923256</v>
      </c>
      <c r="AF14" s="5">
        <f t="shared" si="18"/>
        <v>0</v>
      </c>
      <c r="AG14" s="21"/>
      <c r="AH14" s="5">
        <f t="shared" si="19"/>
        <v>0</v>
      </c>
      <c r="AI14" s="5">
        <f t="shared" si="20"/>
        <v>0</v>
      </c>
      <c r="AJ14" s="5">
        <f t="shared" si="21"/>
        <v>5.2</v>
      </c>
      <c r="AK14" s="5">
        <f t="shared" si="22"/>
        <v>5.5500000000000007</v>
      </c>
      <c r="AL14" s="5">
        <f t="shared" si="23"/>
        <v>0</v>
      </c>
      <c r="AM14" s="5">
        <f t="shared" si="24"/>
        <v>0</v>
      </c>
      <c r="AO14" s="21">
        <v>1.9</v>
      </c>
      <c r="AP14" s="5">
        <f t="shared" si="25"/>
        <v>2.2000000000000002</v>
      </c>
      <c r="AQ14" s="21">
        <v>0.2</v>
      </c>
      <c r="AR14" s="5">
        <f t="shared" si="26"/>
        <v>1.1309733552923256</v>
      </c>
      <c r="AS14" s="5">
        <f t="shared" si="27"/>
        <v>0.60980532894153494</v>
      </c>
      <c r="AT14" s="21">
        <v>2.12</v>
      </c>
      <c r="AU14" s="5">
        <f t="shared" si="28"/>
        <v>2.529866666666666</v>
      </c>
      <c r="AV14" s="5">
        <f t="shared" si="29"/>
        <v>0.50597333333333327</v>
      </c>
      <c r="AW14" s="5">
        <f t="shared" si="30"/>
        <v>5.2</v>
      </c>
      <c r="AX14" s="5">
        <f t="shared" si="31"/>
        <v>5.5500000000000007</v>
      </c>
      <c r="AY14" s="5">
        <f t="shared" si="32"/>
        <v>1.1100000000000001</v>
      </c>
      <c r="AZ14" s="5">
        <f t="shared" si="33"/>
        <v>2.2257786622748683</v>
      </c>
      <c r="BB14" s="163">
        <v>11</v>
      </c>
      <c r="BC14" s="118">
        <f>1.5*1*BB14</f>
        <v>16.5</v>
      </c>
      <c r="BD14" s="118">
        <f t="shared" ref="BD14:BD57" si="57">BC14*(AW14+(2*$BC$1))</f>
        <v>118.8</v>
      </c>
      <c r="BE14" s="118">
        <v>13</v>
      </c>
      <c r="BF14" s="118">
        <f>BE14*(AW14+(2*$BC$1))</f>
        <v>93.600000000000009</v>
      </c>
      <c r="BG14" s="183"/>
      <c r="BH14" s="163"/>
      <c r="BI14" s="167"/>
      <c r="BJ14" s="167"/>
      <c r="BK14" s="167"/>
      <c r="BL14" s="167"/>
      <c r="BN14" s="5">
        <f t="shared" si="0"/>
        <v>2.2257786622748683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163">
        <f t="shared" si="5"/>
        <v>0</v>
      </c>
      <c r="BT14" s="163">
        <f t="shared" si="6"/>
        <v>0</v>
      </c>
      <c r="BU14" s="163">
        <f t="shared" si="7"/>
        <v>0</v>
      </c>
      <c r="BV14" s="163">
        <f t="shared" si="8"/>
        <v>0</v>
      </c>
      <c r="BW14" s="163">
        <f t="shared" si="9"/>
        <v>0</v>
      </c>
      <c r="BX14" s="163">
        <f t="shared" si="10"/>
        <v>1</v>
      </c>
      <c r="BY14" s="163">
        <f t="shared" si="11"/>
        <v>0</v>
      </c>
      <c r="BZ14" s="163">
        <f t="shared" si="12"/>
        <v>0</v>
      </c>
      <c r="CA14" s="163">
        <f t="shared" si="13"/>
        <v>0</v>
      </c>
      <c r="CB14" s="163">
        <f t="shared" si="14"/>
        <v>0</v>
      </c>
      <c r="CC14" s="163">
        <f t="shared" si="34"/>
        <v>1</v>
      </c>
      <c r="CD14" s="163">
        <f t="shared" si="35"/>
        <v>0</v>
      </c>
      <c r="CE14" s="163">
        <f t="shared" si="36"/>
        <v>0</v>
      </c>
      <c r="CF14" s="163">
        <f t="shared" si="37"/>
        <v>0</v>
      </c>
      <c r="CG14" s="163">
        <f t="shared" si="38"/>
        <v>0</v>
      </c>
      <c r="CI14" s="167">
        <v>3.1</v>
      </c>
      <c r="CJ14" s="167">
        <v>1.9</v>
      </c>
      <c r="CK14" s="5">
        <f t="shared" si="56"/>
        <v>5.5</v>
      </c>
      <c r="CL14" s="5">
        <f t="shared" si="39"/>
        <v>1.7</v>
      </c>
      <c r="CM14" s="5" t="str">
        <f t="shared" si="40"/>
        <v/>
      </c>
      <c r="CN14" s="5" t="str">
        <f t="shared" si="41"/>
        <v/>
      </c>
      <c r="CO14" s="5" t="str">
        <f t="shared" si="42"/>
        <v/>
      </c>
      <c r="CP14" s="5">
        <f t="shared" si="54"/>
        <v>1.5299999999999998</v>
      </c>
      <c r="CQ14" s="5" t="str">
        <f t="shared" si="43"/>
        <v/>
      </c>
      <c r="CR14" s="5" t="str">
        <f t="shared" si="44"/>
        <v/>
      </c>
      <c r="CS14" s="5" t="str">
        <f t="shared" si="45"/>
        <v/>
      </c>
      <c r="CT14" s="50">
        <f t="shared" si="46"/>
        <v>1</v>
      </c>
      <c r="CU14" s="50">
        <f t="shared" si="47"/>
        <v>0</v>
      </c>
      <c r="CV14" s="50">
        <f t="shared" si="48"/>
        <v>0</v>
      </c>
      <c r="CW14" s="50">
        <f t="shared" si="49"/>
        <v>0</v>
      </c>
      <c r="CX14" s="190">
        <f t="shared" si="55"/>
        <v>1</v>
      </c>
      <c r="CZ14" s="1">
        <v>1.95</v>
      </c>
      <c r="DA14" s="167">
        <f t="shared" si="50"/>
        <v>1.7</v>
      </c>
      <c r="DB14" s="1">
        <f>Alcantarillas!AX19</f>
        <v>11.45</v>
      </c>
      <c r="DC14" s="5">
        <f t="shared" si="51"/>
        <v>37.95675</v>
      </c>
      <c r="DE14" s="172">
        <f t="shared" si="52"/>
        <v>429</v>
      </c>
      <c r="DF14" s="172">
        <f t="shared" si="53"/>
        <v>0</v>
      </c>
    </row>
    <row r="15" spans="3:110" x14ac:dyDescent="0.25">
      <c r="E15" s="4"/>
      <c r="N15">
        <v>10</v>
      </c>
      <c r="O15" s="24">
        <f>Alcantarillas!E20</f>
        <v>2298.4</v>
      </c>
      <c r="P15" s="160">
        <f>IF(Alcantarillas!J20=1.2,1,0)</f>
        <v>1</v>
      </c>
      <c r="Q15" s="160">
        <f>IF(Alcantarillas!J20=1.3,1,0)</f>
        <v>0</v>
      </c>
      <c r="R15" s="160">
        <f>IF(Alcantarillas!J20=1.4,1,0)</f>
        <v>0</v>
      </c>
      <c r="S15" s="160">
        <f>IF(Alcantarillas!L20=1.2,1,0)</f>
        <v>0</v>
      </c>
      <c r="T15" s="160">
        <f>IF(Alcantarillas!L20=1.5,1,0)</f>
        <v>0</v>
      </c>
      <c r="V15" s="160">
        <f>IF(Alcantarillas!J20=1.2,Alcantarillas!AX20,0)</f>
        <v>11.25</v>
      </c>
      <c r="W15" s="160">
        <f>IF(Alcantarillas!J20=1.3,Alcantarillas!AX20,0)</f>
        <v>0</v>
      </c>
      <c r="X15" s="160">
        <f>IF(Alcantarillas!J20=1.4,Alcantarillas!AX20,0)</f>
        <v>0</v>
      </c>
      <c r="Y15" s="160">
        <f>IF(Alcantarillas!L20=1.2,Alcantarillas!AX20,0)</f>
        <v>0</v>
      </c>
      <c r="Z15" s="160">
        <f>IF(Alcantarillas!L20=1.5,Alcantarillas!AX20,0)</f>
        <v>0</v>
      </c>
      <c r="AB15" s="21"/>
      <c r="AC15" s="5">
        <f t="shared" si="16"/>
        <v>2.2000000000000002</v>
      </c>
      <c r="AD15" s="21"/>
      <c r="AE15" s="5">
        <f t="shared" si="17"/>
        <v>1.1309733552923256</v>
      </c>
      <c r="AF15" s="5">
        <f t="shared" si="18"/>
        <v>0</v>
      </c>
      <c r="AG15" s="21"/>
      <c r="AH15" s="5">
        <f t="shared" si="19"/>
        <v>0</v>
      </c>
      <c r="AI15" s="5">
        <f t="shared" si="20"/>
        <v>0</v>
      </c>
      <c r="AJ15" s="5">
        <f t="shared" si="21"/>
        <v>5.2</v>
      </c>
      <c r="AK15" s="5">
        <f t="shared" si="22"/>
        <v>5.5500000000000007</v>
      </c>
      <c r="AL15" s="5">
        <f t="shared" si="23"/>
        <v>0</v>
      </c>
      <c r="AM15" s="5">
        <f t="shared" si="24"/>
        <v>0</v>
      </c>
      <c r="AO15" s="21">
        <v>1.9</v>
      </c>
      <c r="AP15" s="5">
        <f t="shared" si="25"/>
        <v>2.2000000000000002</v>
      </c>
      <c r="AQ15" s="21">
        <v>0.2</v>
      </c>
      <c r="AR15" s="5">
        <f t="shared" si="26"/>
        <v>1.1309733552923256</v>
      </c>
      <c r="AS15" s="5">
        <f t="shared" si="27"/>
        <v>0.60980532894153494</v>
      </c>
      <c r="AT15" s="21">
        <v>2.12</v>
      </c>
      <c r="AU15" s="5">
        <f t="shared" si="28"/>
        <v>2.529866666666666</v>
      </c>
      <c r="AV15" s="5">
        <f t="shared" si="29"/>
        <v>0.50597333333333327</v>
      </c>
      <c r="AW15" s="5">
        <f t="shared" si="30"/>
        <v>5.2</v>
      </c>
      <c r="AX15" s="5">
        <f t="shared" si="31"/>
        <v>5.5500000000000007</v>
      </c>
      <c r="AY15" s="5">
        <f t="shared" si="32"/>
        <v>1.1100000000000001</v>
      </c>
      <c r="AZ15" s="5">
        <f t="shared" si="33"/>
        <v>2.2257786622748683</v>
      </c>
      <c r="BB15" s="163"/>
      <c r="BC15" s="118"/>
      <c r="BD15" s="118"/>
      <c r="BE15" s="118"/>
      <c r="BF15" s="118"/>
      <c r="BG15" s="183"/>
      <c r="BH15" s="163"/>
      <c r="BI15" s="167"/>
      <c r="BJ15" s="167"/>
      <c r="BK15" s="167"/>
      <c r="BL15" s="167"/>
      <c r="BN15" s="5">
        <f t="shared" si="0"/>
        <v>2.2257786622748683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163">
        <f t="shared" si="5"/>
        <v>0</v>
      </c>
      <c r="BT15" s="163">
        <f t="shared" si="6"/>
        <v>0</v>
      </c>
      <c r="BU15" s="163">
        <f t="shared" si="7"/>
        <v>0</v>
      </c>
      <c r="BV15" s="163">
        <f t="shared" si="8"/>
        <v>0</v>
      </c>
      <c r="BW15" s="163">
        <f t="shared" si="9"/>
        <v>0</v>
      </c>
      <c r="BX15" s="163">
        <f t="shared" si="10"/>
        <v>1</v>
      </c>
      <c r="BY15" s="163">
        <f t="shared" si="11"/>
        <v>0</v>
      </c>
      <c r="BZ15" s="163">
        <f t="shared" si="12"/>
        <v>0</v>
      </c>
      <c r="CA15" s="163">
        <f t="shared" si="13"/>
        <v>0</v>
      </c>
      <c r="CB15" s="163">
        <f t="shared" si="14"/>
        <v>0</v>
      </c>
      <c r="CC15" s="163">
        <f t="shared" si="34"/>
        <v>1</v>
      </c>
      <c r="CD15" s="163">
        <f t="shared" si="35"/>
        <v>0</v>
      </c>
      <c r="CE15" s="163">
        <f t="shared" si="36"/>
        <v>0</v>
      </c>
      <c r="CF15" s="163">
        <f t="shared" si="37"/>
        <v>0</v>
      </c>
      <c r="CG15" s="163">
        <f t="shared" si="38"/>
        <v>0</v>
      </c>
      <c r="CI15" s="167">
        <v>4.5999999999999996</v>
      </c>
      <c r="CJ15" s="167">
        <v>1.9</v>
      </c>
      <c r="CK15" s="5">
        <f t="shared" si="56"/>
        <v>7.15</v>
      </c>
      <c r="CL15" s="5">
        <f t="shared" si="39"/>
        <v>1.7</v>
      </c>
      <c r="CM15" s="5" t="str">
        <f t="shared" si="40"/>
        <v/>
      </c>
      <c r="CN15" s="5" t="str">
        <f t="shared" si="41"/>
        <v/>
      </c>
      <c r="CO15" s="5" t="str">
        <f t="shared" si="42"/>
        <v/>
      </c>
      <c r="CP15" s="5">
        <f t="shared" si="54"/>
        <v>1.9124999999999996</v>
      </c>
      <c r="CQ15" s="5" t="str">
        <f t="shared" si="43"/>
        <v/>
      </c>
      <c r="CR15" s="5" t="str">
        <f t="shared" si="44"/>
        <v/>
      </c>
      <c r="CS15" s="5" t="str">
        <f t="shared" si="45"/>
        <v/>
      </c>
      <c r="CT15" s="50">
        <f t="shared" si="46"/>
        <v>1</v>
      </c>
      <c r="CU15" s="50">
        <f t="shared" si="47"/>
        <v>0</v>
      </c>
      <c r="CV15" s="50">
        <f t="shared" si="48"/>
        <v>0</v>
      </c>
      <c r="CW15" s="50">
        <f t="shared" si="49"/>
        <v>0</v>
      </c>
      <c r="CX15" s="190">
        <f t="shared" si="55"/>
        <v>1</v>
      </c>
      <c r="CZ15" s="1">
        <v>1.95</v>
      </c>
      <c r="DA15" s="167">
        <f t="shared" si="50"/>
        <v>1.7</v>
      </c>
      <c r="DB15" s="1">
        <f>Alcantarillas!AX20</f>
        <v>11.25</v>
      </c>
      <c r="DC15" s="5">
        <f t="shared" si="51"/>
        <v>37.293750000000003</v>
      </c>
      <c r="DE15" s="172">
        <f t="shared" si="52"/>
        <v>0</v>
      </c>
      <c r="DF15" s="172">
        <f t="shared" si="53"/>
        <v>0</v>
      </c>
    </row>
    <row r="16" spans="3:110" x14ac:dyDescent="0.25">
      <c r="N16">
        <v>11</v>
      </c>
      <c r="O16" s="24">
        <f>Alcantarillas!E21</f>
        <v>2815</v>
      </c>
      <c r="P16" s="160">
        <f>IF(Alcantarillas!J21=1.2,1,0)</f>
        <v>1</v>
      </c>
      <c r="Q16" s="160">
        <f>IF(Alcantarillas!J21=1.3,1,0)</f>
        <v>0</v>
      </c>
      <c r="R16" s="160">
        <f>IF(Alcantarillas!J21=1.4,1,0)</f>
        <v>0</v>
      </c>
      <c r="S16" s="160">
        <f>IF(Alcantarillas!L21=1.2,1,0)</f>
        <v>0</v>
      </c>
      <c r="T16" s="160">
        <f>IF(Alcantarillas!L21=1.5,1,0)</f>
        <v>0</v>
      </c>
      <c r="V16" s="160">
        <f>IF(Alcantarillas!J21=1.2,Alcantarillas!AX21,0)</f>
        <v>9.85</v>
      </c>
      <c r="W16" s="160">
        <f>IF(Alcantarillas!J21=1.3,Alcantarillas!AX21,0)</f>
        <v>0</v>
      </c>
      <c r="X16" s="160">
        <f>IF(Alcantarillas!J21=1.4,Alcantarillas!AX21,0)</f>
        <v>0</v>
      </c>
      <c r="Y16" s="160">
        <f>IF(Alcantarillas!L21=1.2,Alcantarillas!AX21,0)</f>
        <v>0</v>
      </c>
      <c r="Z16" s="160">
        <f>IF(Alcantarillas!L21=1.5,Alcantarillas!AX21,0)</f>
        <v>0</v>
      </c>
      <c r="AB16" s="21"/>
      <c r="AC16" s="5">
        <f t="shared" si="16"/>
        <v>2.2000000000000002</v>
      </c>
      <c r="AD16" s="21"/>
      <c r="AE16" s="5">
        <f t="shared" si="17"/>
        <v>1.1309733552923256</v>
      </c>
      <c r="AF16" s="5">
        <f t="shared" si="18"/>
        <v>0</v>
      </c>
      <c r="AG16" s="21"/>
      <c r="AH16" s="5">
        <f t="shared" si="19"/>
        <v>0</v>
      </c>
      <c r="AI16" s="5">
        <f t="shared" si="20"/>
        <v>0</v>
      </c>
      <c r="AJ16" s="5">
        <f t="shared" si="21"/>
        <v>5.2</v>
      </c>
      <c r="AK16" s="5">
        <f t="shared" si="22"/>
        <v>5.5500000000000007</v>
      </c>
      <c r="AL16" s="5">
        <f t="shared" si="23"/>
        <v>0</v>
      </c>
      <c r="AM16" s="5">
        <f t="shared" si="24"/>
        <v>0</v>
      </c>
      <c r="AO16" s="21">
        <v>1.9</v>
      </c>
      <c r="AP16" s="5">
        <f t="shared" si="25"/>
        <v>2.2000000000000002</v>
      </c>
      <c r="AQ16" s="21">
        <v>0.2</v>
      </c>
      <c r="AR16" s="5">
        <f t="shared" si="26"/>
        <v>1.1309733552923256</v>
      </c>
      <c r="AS16" s="5">
        <f t="shared" si="27"/>
        <v>0.60980532894153494</v>
      </c>
      <c r="AT16" s="21">
        <v>2.12</v>
      </c>
      <c r="AU16" s="5">
        <f t="shared" si="28"/>
        <v>2.529866666666666</v>
      </c>
      <c r="AV16" s="5">
        <f t="shared" si="29"/>
        <v>0.50597333333333327</v>
      </c>
      <c r="AW16" s="5">
        <f t="shared" si="30"/>
        <v>5.2</v>
      </c>
      <c r="AX16" s="5">
        <f t="shared" si="31"/>
        <v>5.5500000000000007</v>
      </c>
      <c r="AY16" s="5">
        <f t="shared" si="32"/>
        <v>1.1100000000000001</v>
      </c>
      <c r="AZ16" s="5">
        <f t="shared" si="33"/>
        <v>2.2257786622748683</v>
      </c>
      <c r="BB16" s="163"/>
      <c r="BC16" s="118"/>
      <c r="BD16" s="118"/>
      <c r="BE16" s="118"/>
      <c r="BF16" s="118"/>
      <c r="BG16" s="183"/>
      <c r="BH16" s="163"/>
      <c r="BI16" s="167"/>
      <c r="BJ16" s="167"/>
      <c r="BK16" s="167"/>
      <c r="BL16" s="167"/>
      <c r="BN16" s="5">
        <f t="shared" si="0"/>
        <v>2.2257786622748683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163">
        <f t="shared" si="5"/>
        <v>0</v>
      </c>
      <c r="BT16" s="163">
        <f t="shared" si="6"/>
        <v>0</v>
      </c>
      <c r="BU16" s="163">
        <f t="shared" si="7"/>
        <v>0</v>
      </c>
      <c r="BV16" s="163">
        <f t="shared" si="8"/>
        <v>0</v>
      </c>
      <c r="BW16" s="163">
        <f t="shared" si="9"/>
        <v>0</v>
      </c>
      <c r="BX16" s="163">
        <f t="shared" si="10"/>
        <v>1</v>
      </c>
      <c r="BY16" s="163">
        <f t="shared" si="11"/>
        <v>0</v>
      </c>
      <c r="BZ16" s="163">
        <f t="shared" si="12"/>
        <v>0</v>
      </c>
      <c r="CA16" s="163">
        <f t="shared" si="13"/>
        <v>0</v>
      </c>
      <c r="CB16" s="163">
        <f t="shared" si="14"/>
        <v>0</v>
      </c>
      <c r="CC16" s="163">
        <f t="shared" si="34"/>
        <v>1</v>
      </c>
      <c r="CD16" s="163">
        <f t="shared" si="35"/>
        <v>0</v>
      </c>
      <c r="CE16" s="163">
        <f t="shared" si="36"/>
        <v>0</v>
      </c>
      <c r="CF16" s="163">
        <f t="shared" si="37"/>
        <v>0</v>
      </c>
      <c r="CG16" s="163">
        <f t="shared" si="38"/>
        <v>0</v>
      </c>
      <c r="CI16" s="167">
        <v>4.8</v>
      </c>
      <c r="CJ16" s="167">
        <v>1.9</v>
      </c>
      <c r="CK16" s="5">
        <f t="shared" si="56"/>
        <v>7.37</v>
      </c>
      <c r="CL16" s="5">
        <f t="shared" si="39"/>
        <v>1.7</v>
      </c>
      <c r="CM16" s="5" t="str">
        <f t="shared" si="40"/>
        <v/>
      </c>
      <c r="CN16" s="5" t="str">
        <f t="shared" si="41"/>
        <v/>
      </c>
      <c r="CO16" s="5" t="str">
        <f t="shared" si="42"/>
        <v/>
      </c>
      <c r="CP16" s="5">
        <f t="shared" si="54"/>
        <v>1.9634999999999998</v>
      </c>
      <c r="CQ16" s="5" t="str">
        <f t="shared" si="43"/>
        <v/>
      </c>
      <c r="CR16" s="5" t="str">
        <f t="shared" si="44"/>
        <v/>
      </c>
      <c r="CS16" s="5" t="str">
        <f t="shared" si="45"/>
        <v/>
      </c>
      <c r="CT16" s="50">
        <f t="shared" si="46"/>
        <v>1</v>
      </c>
      <c r="CU16" s="50">
        <f t="shared" si="47"/>
        <v>0</v>
      </c>
      <c r="CV16" s="50">
        <f t="shared" si="48"/>
        <v>0</v>
      </c>
      <c r="CW16" s="50">
        <f t="shared" si="49"/>
        <v>0</v>
      </c>
      <c r="CX16" s="190">
        <f t="shared" si="55"/>
        <v>1</v>
      </c>
      <c r="CZ16" s="1">
        <v>1.95</v>
      </c>
      <c r="DA16" s="167">
        <f t="shared" si="50"/>
        <v>1.7</v>
      </c>
      <c r="DB16" s="1">
        <f>Alcantarillas!AX21</f>
        <v>9.85</v>
      </c>
      <c r="DC16" s="5">
        <f t="shared" si="51"/>
        <v>32.652749999999997</v>
      </c>
      <c r="DE16" s="172">
        <f t="shared" si="52"/>
        <v>0</v>
      </c>
      <c r="DF16" s="172">
        <f t="shared" si="53"/>
        <v>0</v>
      </c>
    </row>
    <row r="17" spans="3:110" x14ac:dyDescent="0.25">
      <c r="N17">
        <v>12</v>
      </c>
      <c r="O17" s="24">
        <f>Alcantarillas!E22</f>
        <v>2992.8</v>
      </c>
      <c r="P17" s="160">
        <f>IF(Alcantarillas!J22=1.2,1,0)</f>
        <v>1</v>
      </c>
      <c r="Q17" s="160">
        <f>IF(Alcantarillas!J22=1.3,1,0)</f>
        <v>0</v>
      </c>
      <c r="R17" s="160">
        <f>IF(Alcantarillas!J22=1.4,1,0)</f>
        <v>0</v>
      </c>
      <c r="S17" s="160">
        <f>IF(Alcantarillas!L22=1.2,1,0)</f>
        <v>0</v>
      </c>
      <c r="T17" s="160">
        <f>IF(Alcantarillas!L22=1.5,1,0)</f>
        <v>0</v>
      </c>
      <c r="V17" s="160">
        <f>IF(Alcantarillas!J22=1.2,Alcantarillas!AX22,0)</f>
        <v>11.25</v>
      </c>
      <c r="W17" s="160">
        <f>IF(Alcantarillas!J22=1.3,Alcantarillas!AX22,0)</f>
        <v>0</v>
      </c>
      <c r="X17" s="160">
        <f>IF(Alcantarillas!J22=1.4,Alcantarillas!AX22,0)</f>
        <v>0</v>
      </c>
      <c r="Y17" s="160">
        <f>IF(Alcantarillas!L22=1.2,Alcantarillas!AX22,0)</f>
        <v>0</v>
      </c>
      <c r="Z17" s="160">
        <f>IF(Alcantarillas!L22=1.5,Alcantarillas!AX22,0)</f>
        <v>0</v>
      </c>
      <c r="AB17" s="21"/>
      <c r="AC17" s="5">
        <f t="shared" si="16"/>
        <v>2.2000000000000002</v>
      </c>
      <c r="AD17" s="21"/>
      <c r="AE17" s="5">
        <f t="shared" si="17"/>
        <v>1.1309733552923256</v>
      </c>
      <c r="AF17" s="5">
        <f t="shared" si="18"/>
        <v>0</v>
      </c>
      <c r="AG17" s="21"/>
      <c r="AH17" s="5">
        <f t="shared" si="19"/>
        <v>0</v>
      </c>
      <c r="AI17" s="5">
        <f t="shared" si="20"/>
        <v>0</v>
      </c>
      <c r="AJ17" s="5">
        <f t="shared" si="21"/>
        <v>5.2</v>
      </c>
      <c r="AK17" s="5">
        <f t="shared" si="22"/>
        <v>5.5500000000000007</v>
      </c>
      <c r="AL17" s="5">
        <f t="shared" si="23"/>
        <v>0</v>
      </c>
      <c r="AM17" s="5">
        <f t="shared" si="24"/>
        <v>0</v>
      </c>
      <c r="AO17" s="21">
        <v>1.9</v>
      </c>
      <c r="AP17" s="5">
        <f t="shared" si="25"/>
        <v>2.2000000000000002</v>
      </c>
      <c r="AQ17" s="21">
        <v>0.2</v>
      </c>
      <c r="AR17" s="5">
        <f t="shared" si="26"/>
        <v>1.1309733552923256</v>
      </c>
      <c r="AS17" s="5">
        <f t="shared" si="27"/>
        <v>0.60980532894153494</v>
      </c>
      <c r="AT17" s="21">
        <v>2.12</v>
      </c>
      <c r="AU17" s="5">
        <f t="shared" si="28"/>
        <v>2.529866666666666</v>
      </c>
      <c r="AV17" s="5">
        <f t="shared" si="29"/>
        <v>0.50597333333333327</v>
      </c>
      <c r="AW17" s="5">
        <f t="shared" si="30"/>
        <v>5.2</v>
      </c>
      <c r="AX17" s="5">
        <f t="shared" si="31"/>
        <v>5.5500000000000007</v>
      </c>
      <c r="AY17" s="5">
        <f t="shared" si="32"/>
        <v>1.1100000000000001</v>
      </c>
      <c r="AZ17" s="5">
        <f t="shared" si="33"/>
        <v>2.2257786622748683</v>
      </c>
      <c r="BB17" s="163">
        <v>10</v>
      </c>
      <c r="BC17" s="118">
        <f t="shared" ref="BC17:BC74" si="58">1.5*1*BB17</f>
        <v>15</v>
      </c>
      <c r="BD17" s="118">
        <f t="shared" si="57"/>
        <v>108</v>
      </c>
      <c r="BE17" s="118">
        <v>13</v>
      </c>
      <c r="BF17" s="118">
        <f t="shared" ref="BF17:BF74" si="59">BE17*(AW17+(2*$BC$1))</f>
        <v>93.600000000000009</v>
      </c>
      <c r="BG17" s="183"/>
      <c r="BH17" s="163"/>
      <c r="BI17" s="167"/>
      <c r="BJ17" s="167"/>
      <c r="BK17" s="167"/>
      <c r="BL17" s="167"/>
      <c r="BN17" s="5">
        <f t="shared" si="0"/>
        <v>2.2257786622748683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163">
        <f t="shared" si="5"/>
        <v>0</v>
      </c>
      <c r="BT17" s="163">
        <f t="shared" si="6"/>
        <v>0</v>
      </c>
      <c r="BU17" s="163">
        <f t="shared" si="7"/>
        <v>0</v>
      </c>
      <c r="BV17" s="163">
        <f t="shared" si="8"/>
        <v>0</v>
      </c>
      <c r="BW17" s="163">
        <f t="shared" si="9"/>
        <v>0</v>
      </c>
      <c r="BX17" s="163">
        <f t="shared" si="10"/>
        <v>1</v>
      </c>
      <c r="BY17" s="163">
        <f t="shared" si="11"/>
        <v>0</v>
      </c>
      <c r="BZ17" s="163">
        <f t="shared" si="12"/>
        <v>0</v>
      </c>
      <c r="CA17" s="163">
        <f t="shared" si="13"/>
        <v>0</v>
      </c>
      <c r="CB17" s="163">
        <f t="shared" si="14"/>
        <v>0</v>
      </c>
      <c r="CC17" s="163">
        <f t="shared" si="34"/>
        <v>1</v>
      </c>
      <c r="CD17" s="163">
        <f t="shared" si="35"/>
        <v>0</v>
      </c>
      <c r="CE17" s="163">
        <f t="shared" si="36"/>
        <v>0</v>
      </c>
      <c r="CF17" s="163">
        <f t="shared" si="37"/>
        <v>0</v>
      </c>
      <c r="CG17" s="163">
        <f t="shared" si="38"/>
        <v>0</v>
      </c>
      <c r="CI17" s="167">
        <v>4</v>
      </c>
      <c r="CJ17" s="167">
        <v>1.9</v>
      </c>
      <c r="CK17" s="5">
        <f t="shared" si="56"/>
        <v>6.4900000000000011</v>
      </c>
      <c r="CL17" s="5">
        <f t="shared" si="39"/>
        <v>1.7</v>
      </c>
      <c r="CM17" s="5" t="str">
        <f t="shared" si="40"/>
        <v/>
      </c>
      <c r="CN17" s="5" t="str">
        <f t="shared" si="41"/>
        <v/>
      </c>
      <c r="CO17" s="5" t="str">
        <f t="shared" si="42"/>
        <v/>
      </c>
      <c r="CP17" s="5">
        <f t="shared" si="54"/>
        <v>1.7594999999999998</v>
      </c>
      <c r="CQ17" s="5" t="str">
        <f t="shared" si="43"/>
        <v/>
      </c>
      <c r="CR17" s="5" t="str">
        <f t="shared" si="44"/>
        <v/>
      </c>
      <c r="CS17" s="5" t="str">
        <f t="shared" si="45"/>
        <v/>
      </c>
      <c r="CT17" s="50">
        <f t="shared" si="46"/>
        <v>1</v>
      </c>
      <c r="CU17" s="50">
        <f t="shared" si="47"/>
        <v>0</v>
      </c>
      <c r="CV17" s="50">
        <f t="shared" si="48"/>
        <v>0</v>
      </c>
      <c r="CW17" s="50">
        <f t="shared" si="49"/>
        <v>0</v>
      </c>
      <c r="CX17" s="190">
        <f t="shared" si="55"/>
        <v>1</v>
      </c>
      <c r="CZ17" s="1">
        <v>2</v>
      </c>
      <c r="DA17" s="167">
        <f t="shared" si="50"/>
        <v>1.7</v>
      </c>
      <c r="DB17" s="1">
        <f>Alcantarillas!AX22</f>
        <v>11.25</v>
      </c>
      <c r="DC17" s="5">
        <f t="shared" si="51"/>
        <v>38.25</v>
      </c>
      <c r="DE17" s="172">
        <f t="shared" si="52"/>
        <v>390</v>
      </c>
      <c r="DF17" s="172">
        <f t="shared" si="53"/>
        <v>0</v>
      </c>
    </row>
    <row r="18" spans="3:110" x14ac:dyDescent="0.25">
      <c r="C18" s="19" t="s">
        <v>383</v>
      </c>
      <c r="N18">
        <v>13</v>
      </c>
      <c r="O18" s="24">
        <f>Alcantarillas!E23</f>
        <v>3281.5</v>
      </c>
      <c r="P18" s="160">
        <f>IF(Alcantarillas!J23=1.2,1,0)</f>
        <v>1</v>
      </c>
      <c r="Q18" s="160">
        <f>IF(Alcantarillas!J23=1.3,1,0)</f>
        <v>0</v>
      </c>
      <c r="R18" s="160">
        <f>IF(Alcantarillas!J23=1.4,1,0)</f>
        <v>0</v>
      </c>
      <c r="S18" s="160">
        <f>IF(Alcantarillas!L23=1.2,1,0)</f>
        <v>0</v>
      </c>
      <c r="T18" s="160">
        <f>IF(Alcantarillas!L23=1.5,1,0)</f>
        <v>0</v>
      </c>
      <c r="V18" s="160">
        <f>IF(Alcantarillas!J23=1.2,Alcantarillas!AX23,0)</f>
        <v>9.4499999999999993</v>
      </c>
      <c r="W18" s="160">
        <f>IF(Alcantarillas!J23=1.3,Alcantarillas!AX23,0)</f>
        <v>0</v>
      </c>
      <c r="X18" s="160">
        <f>IF(Alcantarillas!J23=1.4,Alcantarillas!AX23,0)</f>
        <v>0</v>
      </c>
      <c r="Y18" s="160">
        <f>IF(Alcantarillas!L23=1.2,Alcantarillas!AX23,0)</f>
        <v>0</v>
      </c>
      <c r="Z18" s="160">
        <f>IF(Alcantarillas!L23=1.5,Alcantarillas!AX23,0)</f>
        <v>0</v>
      </c>
      <c r="AB18" s="21"/>
      <c r="AC18" s="5">
        <f t="shared" si="16"/>
        <v>2.2000000000000002</v>
      </c>
      <c r="AD18" s="21"/>
      <c r="AE18" s="5">
        <f t="shared" si="17"/>
        <v>1.1309733552923256</v>
      </c>
      <c r="AF18" s="5">
        <f t="shared" si="18"/>
        <v>0</v>
      </c>
      <c r="AG18" s="21"/>
      <c r="AH18" s="5">
        <f t="shared" si="19"/>
        <v>0</v>
      </c>
      <c r="AI18" s="5">
        <f t="shared" si="20"/>
        <v>0</v>
      </c>
      <c r="AJ18" s="5">
        <f t="shared" si="21"/>
        <v>5.2</v>
      </c>
      <c r="AK18" s="5">
        <f t="shared" si="22"/>
        <v>5.5500000000000007</v>
      </c>
      <c r="AL18" s="5">
        <f t="shared" si="23"/>
        <v>0</v>
      </c>
      <c r="AM18" s="5">
        <f t="shared" si="24"/>
        <v>0</v>
      </c>
      <c r="AO18" s="21">
        <v>2.4500000000000002</v>
      </c>
      <c r="AP18" s="5">
        <f t="shared" si="25"/>
        <v>2.2000000000000002</v>
      </c>
      <c r="AQ18" s="21">
        <v>0.2</v>
      </c>
      <c r="AR18" s="5">
        <f t="shared" si="26"/>
        <v>1.1309733552923256</v>
      </c>
      <c r="AS18" s="5">
        <f t="shared" si="27"/>
        <v>0.85180532894153504</v>
      </c>
      <c r="AT18" s="21">
        <v>2.12</v>
      </c>
      <c r="AU18" s="5">
        <f t="shared" si="28"/>
        <v>3.6958666666666673</v>
      </c>
      <c r="AV18" s="5">
        <f t="shared" si="29"/>
        <v>0.73917333333333346</v>
      </c>
      <c r="AW18" s="5">
        <f t="shared" si="30"/>
        <v>5.2</v>
      </c>
      <c r="AX18" s="5">
        <f t="shared" si="31"/>
        <v>5.5500000000000007</v>
      </c>
      <c r="AY18" s="5">
        <f t="shared" si="32"/>
        <v>1.1100000000000001</v>
      </c>
      <c r="AZ18" s="5">
        <f t="shared" si="33"/>
        <v>2.7009786622748688</v>
      </c>
      <c r="BB18" s="163"/>
      <c r="BC18" s="118"/>
      <c r="BD18" s="118"/>
      <c r="BE18" s="118"/>
      <c r="BF18" s="118"/>
      <c r="BG18" s="183"/>
      <c r="BH18" s="163"/>
      <c r="BI18" s="167"/>
      <c r="BJ18" s="167"/>
      <c r="BK18" s="167"/>
      <c r="BL18" s="167"/>
      <c r="BN18" s="5">
        <f t="shared" si="0"/>
        <v>2.7009786622748688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163">
        <f t="shared" si="5"/>
        <v>0</v>
      </c>
      <c r="BT18" s="163">
        <f t="shared" si="6"/>
        <v>0</v>
      </c>
      <c r="BU18" s="163">
        <f t="shared" si="7"/>
        <v>0</v>
      </c>
      <c r="BV18" s="163">
        <f t="shared" si="8"/>
        <v>0</v>
      </c>
      <c r="BW18" s="163">
        <f t="shared" si="9"/>
        <v>0</v>
      </c>
      <c r="BX18" s="163">
        <f t="shared" si="10"/>
        <v>1</v>
      </c>
      <c r="BY18" s="163">
        <f t="shared" si="11"/>
        <v>0</v>
      </c>
      <c r="BZ18" s="163">
        <f t="shared" si="12"/>
        <v>0</v>
      </c>
      <c r="CA18" s="163">
        <f t="shared" si="13"/>
        <v>0</v>
      </c>
      <c r="CB18" s="163">
        <f t="shared" si="14"/>
        <v>0</v>
      </c>
      <c r="CC18" s="163">
        <f t="shared" si="34"/>
        <v>1</v>
      </c>
      <c r="CD18" s="163">
        <f t="shared" si="35"/>
        <v>0</v>
      </c>
      <c r="CE18" s="163">
        <f t="shared" si="36"/>
        <v>0</v>
      </c>
      <c r="CF18" s="163">
        <f t="shared" si="37"/>
        <v>0</v>
      </c>
      <c r="CG18" s="163">
        <f t="shared" si="38"/>
        <v>0</v>
      </c>
      <c r="CI18" s="167">
        <v>2.1</v>
      </c>
      <c r="CJ18" s="167">
        <v>5.3</v>
      </c>
      <c r="CK18" s="5">
        <f t="shared" si="56"/>
        <v>8.14</v>
      </c>
      <c r="CL18" s="5">
        <f t="shared" si="39"/>
        <v>1.7</v>
      </c>
      <c r="CM18" s="5" t="str">
        <f t="shared" si="40"/>
        <v/>
      </c>
      <c r="CN18" s="5" t="str">
        <f t="shared" si="41"/>
        <v/>
      </c>
      <c r="CO18" s="5" t="str">
        <f t="shared" si="42"/>
        <v/>
      </c>
      <c r="CP18" s="5">
        <f t="shared" si="54"/>
        <v>2.1419999999999999</v>
      </c>
      <c r="CQ18" s="5" t="str">
        <f t="shared" si="43"/>
        <v/>
      </c>
      <c r="CR18" s="5" t="str">
        <f t="shared" si="44"/>
        <v/>
      </c>
      <c r="CS18" s="5" t="str">
        <f t="shared" si="45"/>
        <v/>
      </c>
      <c r="CT18" s="50">
        <f t="shared" si="46"/>
        <v>1</v>
      </c>
      <c r="CU18" s="50">
        <f t="shared" si="47"/>
        <v>0</v>
      </c>
      <c r="CV18" s="50">
        <f t="shared" si="48"/>
        <v>0</v>
      </c>
      <c r="CW18" s="50">
        <f t="shared" si="49"/>
        <v>0</v>
      </c>
      <c r="CX18" s="190">
        <f t="shared" si="55"/>
        <v>1</v>
      </c>
      <c r="CZ18" s="1">
        <v>1.95</v>
      </c>
      <c r="DA18" s="167">
        <f t="shared" si="50"/>
        <v>1.7</v>
      </c>
      <c r="DB18" s="1">
        <f>Alcantarillas!AX23</f>
        <v>9.4499999999999993</v>
      </c>
      <c r="DC18" s="5">
        <f t="shared" si="51"/>
        <v>31.326749999999997</v>
      </c>
      <c r="DE18" s="172">
        <f t="shared" si="52"/>
        <v>0</v>
      </c>
      <c r="DF18" s="172">
        <f t="shared" si="53"/>
        <v>0</v>
      </c>
    </row>
    <row r="19" spans="3:110" x14ac:dyDescent="0.25">
      <c r="N19">
        <v>14</v>
      </c>
      <c r="O19" s="24">
        <f>Alcantarillas!E24</f>
        <v>3590</v>
      </c>
      <c r="P19" s="160">
        <f>IF(Alcantarillas!J24=1.2,1,0)</f>
        <v>1</v>
      </c>
      <c r="Q19" s="160">
        <f>IF(Alcantarillas!J24=1.3,1,0)</f>
        <v>0</v>
      </c>
      <c r="R19" s="160">
        <f>IF(Alcantarillas!J24=1.4,1,0)</f>
        <v>0</v>
      </c>
      <c r="S19" s="160">
        <f>IF(Alcantarillas!L24=1.2,1,0)</f>
        <v>0</v>
      </c>
      <c r="T19" s="160">
        <f>IF(Alcantarillas!L24=1.5,1,0)</f>
        <v>0</v>
      </c>
      <c r="V19" s="160">
        <f>IF(Alcantarillas!J24=1.2,Alcantarillas!AX24,0)</f>
        <v>12.5</v>
      </c>
      <c r="W19" s="160">
        <f>IF(Alcantarillas!J24=1.3,Alcantarillas!AX24,0)</f>
        <v>0</v>
      </c>
      <c r="X19" s="160">
        <f>IF(Alcantarillas!J24=1.4,Alcantarillas!AX24,0)</f>
        <v>0</v>
      </c>
      <c r="Y19" s="160">
        <f>IF(Alcantarillas!L24=1.2,Alcantarillas!AX24,0)</f>
        <v>0</v>
      </c>
      <c r="Z19" s="160">
        <f>IF(Alcantarillas!L24=1.5,Alcantarillas!AX24,0)</f>
        <v>0</v>
      </c>
      <c r="AB19" s="21"/>
      <c r="AC19" s="5">
        <f t="shared" si="16"/>
        <v>2.2000000000000002</v>
      </c>
      <c r="AD19" s="21"/>
      <c r="AE19" s="5">
        <f t="shared" si="17"/>
        <v>1.1309733552923256</v>
      </c>
      <c r="AF19" s="5">
        <f t="shared" si="18"/>
        <v>0</v>
      </c>
      <c r="AG19" s="21"/>
      <c r="AH19" s="5">
        <f t="shared" si="19"/>
        <v>0</v>
      </c>
      <c r="AI19" s="5">
        <f t="shared" si="20"/>
        <v>0</v>
      </c>
      <c r="AJ19" s="5">
        <f t="shared" si="21"/>
        <v>5.2</v>
      </c>
      <c r="AK19" s="5">
        <f t="shared" si="22"/>
        <v>5.5500000000000007</v>
      </c>
      <c r="AL19" s="5">
        <f t="shared" si="23"/>
        <v>0</v>
      </c>
      <c r="AM19" s="5">
        <f t="shared" si="24"/>
        <v>0</v>
      </c>
      <c r="AO19" s="21">
        <v>2.4500000000000002</v>
      </c>
      <c r="AP19" s="5">
        <f t="shared" si="25"/>
        <v>2.2000000000000002</v>
      </c>
      <c r="AQ19" s="21">
        <v>0.2</v>
      </c>
      <c r="AR19" s="5">
        <f t="shared" si="26"/>
        <v>1.1309733552923256</v>
      </c>
      <c r="AS19" s="5">
        <f t="shared" si="27"/>
        <v>0.85180532894153504</v>
      </c>
      <c r="AT19" s="21">
        <v>2.12</v>
      </c>
      <c r="AU19" s="5">
        <f t="shared" si="28"/>
        <v>3.6958666666666673</v>
      </c>
      <c r="AV19" s="5">
        <f t="shared" si="29"/>
        <v>0.73917333333333346</v>
      </c>
      <c r="AW19" s="5">
        <f t="shared" si="30"/>
        <v>5.2</v>
      </c>
      <c r="AX19" s="5">
        <f t="shared" si="31"/>
        <v>5.5500000000000007</v>
      </c>
      <c r="AY19" s="5">
        <f t="shared" si="32"/>
        <v>1.1100000000000001</v>
      </c>
      <c r="AZ19" s="5">
        <f t="shared" si="33"/>
        <v>2.7009786622748688</v>
      </c>
      <c r="BB19" s="163"/>
      <c r="BC19" s="118"/>
      <c r="BD19" s="118"/>
      <c r="BE19" s="118"/>
      <c r="BF19" s="118"/>
      <c r="BG19" s="183"/>
      <c r="BH19" s="163"/>
      <c r="BI19" s="167"/>
      <c r="BJ19" s="167"/>
      <c r="BK19" s="167"/>
      <c r="BL19" s="167"/>
      <c r="BN19" s="5">
        <f t="shared" si="0"/>
        <v>2.7009786622748688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163">
        <f t="shared" si="5"/>
        <v>0</v>
      </c>
      <c r="BT19" s="163">
        <f t="shared" si="6"/>
        <v>0</v>
      </c>
      <c r="BU19" s="163">
        <f t="shared" si="7"/>
        <v>0</v>
      </c>
      <c r="BV19" s="163">
        <f t="shared" si="8"/>
        <v>0</v>
      </c>
      <c r="BW19" s="163">
        <f t="shared" si="9"/>
        <v>0</v>
      </c>
      <c r="BX19" s="163">
        <f t="shared" si="10"/>
        <v>1</v>
      </c>
      <c r="BY19" s="163">
        <f t="shared" si="11"/>
        <v>0</v>
      </c>
      <c r="BZ19" s="163">
        <f t="shared" si="12"/>
        <v>0</v>
      </c>
      <c r="CA19" s="163">
        <f t="shared" si="13"/>
        <v>0</v>
      </c>
      <c r="CB19" s="163">
        <f t="shared" si="14"/>
        <v>0</v>
      </c>
      <c r="CC19" s="163">
        <f t="shared" si="34"/>
        <v>1</v>
      </c>
      <c r="CD19" s="163">
        <f t="shared" si="35"/>
        <v>0</v>
      </c>
      <c r="CE19" s="163">
        <f t="shared" si="36"/>
        <v>0</v>
      </c>
      <c r="CF19" s="163">
        <f t="shared" si="37"/>
        <v>0</v>
      </c>
      <c r="CG19" s="163">
        <f t="shared" si="38"/>
        <v>0</v>
      </c>
      <c r="CI19" s="167">
        <v>2.1</v>
      </c>
      <c r="CJ19" s="167">
        <v>5.9</v>
      </c>
      <c r="CK19" s="5">
        <f t="shared" si="56"/>
        <v>8.8000000000000007</v>
      </c>
      <c r="CL19" s="5">
        <f t="shared" si="39"/>
        <v>1.7</v>
      </c>
      <c r="CM19" s="5" t="str">
        <f t="shared" si="40"/>
        <v/>
      </c>
      <c r="CN19" s="5" t="str">
        <f t="shared" si="41"/>
        <v/>
      </c>
      <c r="CO19" s="5" t="str">
        <f t="shared" si="42"/>
        <v/>
      </c>
      <c r="CP19" s="5">
        <f t="shared" si="54"/>
        <v>2.2949999999999999</v>
      </c>
      <c r="CQ19" s="5" t="str">
        <f t="shared" si="43"/>
        <v/>
      </c>
      <c r="CR19" s="5" t="str">
        <f t="shared" si="44"/>
        <v/>
      </c>
      <c r="CS19" s="5" t="str">
        <f t="shared" si="45"/>
        <v/>
      </c>
      <c r="CT19" s="50">
        <f t="shared" si="46"/>
        <v>1</v>
      </c>
      <c r="CU19" s="50">
        <f t="shared" si="47"/>
        <v>0</v>
      </c>
      <c r="CV19" s="50">
        <f t="shared" si="48"/>
        <v>0</v>
      </c>
      <c r="CW19" s="50">
        <f t="shared" si="49"/>
        <v>0</v>
      </c>
      <c r="CX19" s="190">
        <f t="shared" si="55"/>
        <v>1</v>
      </c>
      <c r="CZ19" s="1">
        <v>1.95</v>
      </c>
      <c r="DA19" s="167">
        <f t="shared" si="50"/>
        <v>1.7</v>
      </c>
      <c r="DB19" s="1">
        <f>Alcantarillas!AX24</f>
        <v>12.5</v>
      </c>
      <c r="DC19" s="5">
        <f t="shared" si="51"/>
        <v>41.4375</v>
      </c>
      <c r="DE19" s="172">
        <f t="shared" si="52"/>
        <v>0</v>
      </c>
      <c r="DF19" s="172">
        <f t="shared" si="53"/>
        <v>0</v>
      </c>
    </row>
    <row r="20" spans="3:110" x14ac:dyDescent="0.25">
      <c r="C20" s="153" t="s">
        <v>323</v>
      </c>
      <c r="D20" s="153">
        <v>1.2</v>
      </c>
      <c r="E20" s="191">
        <v>1.4</v>
      </c>
      <c r="F20" s="191" t="s">
        <v>321</v>
      </c>
      <c r="G20" s="191" t="s">
        <v>322</v>
      </c>
      <c r="H20" s="153" t="s">
        <v>324</v>
      </c>
      <c r="N20">
        <v>15</v>
      </c>
      <c r="O20" s="24">
        <f>Alcantarillas!E25</f>
        <v>4140</v>
      </c>
      <c r="P20" s="160">
        <f>IF(Alcantarillas!J25=1.2,1,0)</f>
        <v>1</v>
      </c>
      <c r="Q20" s="160">
        <f>IF(Alcantarillas!J25=1.3,1,0)</f>
        <v>0</v>
      </c>
      <c r="R20" s="160">
        <f>IF(Alcantarillas!J25=1.4,1,0)</f>
        <v>0</v>
      </c>
      <c r="S20" s="160">
        <f>IF(Alcantarillas!L25=1.2,1,0)</f>
        <v>0</v>
      </c>
      <c r="T20" s="160">
        <f>IF(Alcantarillas!L25=1.5,1,0)</f>
        <v>0</v>
      </c>
      <c r="V20" s="160">
        <f>IF(Alcantarillas!J25=1.2,Alcantarillas!AX25,0)</f>
        <v>11.5</v>
      </c>
      <c r="W20" s="160">
        <f>IF(Alcantarillas!J25=1.3,Alcantarillas!AX25,0)</f>
        <v>0</v>
      </c>
      <c r="X20" s="160">
        <f>IF(Alcantarillas!J25=1.4,Alcantarillas!AX25,0)</f>
        <v>0</v>
      </c>
      <c r="Y20" s="160">
        <f>IF(Alcantarillas!L25=1.2,Alcantarillas!AX25,0)</f>
        <v>0</v>
      </c>
      <c r="Z20" s="160">
        <f>IF(Alcantarillas!L25=1.5,Alcantarillas!AX25,0)</f>
        <v>0</v>
      </c>
      <c r="AB20" s="21"/>
      <c r="AC20" s="5">
        <f t="shared" si="16"/>
        <v>2.2000000000000002</v>
      </c>
      <c r="AD20" s="21"/>
      <c r="AE20" s="5">
        <f t="shared" si="17"/>
        <v>1.1309733552923256</v>
      </c>
      <c r="AF20" s="5">
        <f t="shared" si="18"/>
        <v>0</v>
      </c>
      <c r="AG20" s="21"/>
      <c r="AH20" s="5">
        <f t="shared" si="19"/>
        <v>0</v>
      </c>
      <c r="AI20" s="5">
        <f t="shared" si="20"/>
        <v>0</v>
      </c>
      <c r="AJ20" s="5">
        <f t="shared" si="21"/>
        <v>5.2</v>
      </c>
      <c r="AK20" s="5">
        <f t="shared" si="22"/>
        <v>5.5500000000000007</v>
      </c>
      <c r="AL20" s="5">
        <f t="shared" si="23"/>
        <v>0</v>
      </c>
      <c r="AM20" s="5">
        <f t="shared" si="24"/>
        <v>0</v>
      </c>
      <c r="AO20" s="21">
        <v>2.4</v>
      </c>
      <c r="AP20" s="5">
        <f t="shared" si="25"/>
        <v>2.2000000000000002</v>
      </c>
      <c r="AQ20" s="21">
        <v>0.2</v>
      </c>
      <c r="AR20" s="5">
        <f t="shared" si="26"/>
        <v>1.1309733552923256</v>
      </c>
      <c r="AS20" s="5">
        <f t="shared" si="27"/>
        <v>0.82980532894153503</v>
      </c>
      <c r="AT20" s="21">
        <v>2.12</v>
      </c>
      <c r="AU20" s="5">
        <f t="shared" si="28"/>
        <v>3.5898666666666665</v>
      </c>
      <c r="AV20" s="5">
        <f t="shared" si="29"/>
        <v>0.71797333333333335</v>
      </c>
      <c r="AW20" s="5">
        <f t="shared" si="30"/>
        <v>5.2</v>
      </c>
      <c r="AX20" s="5">
        <f t="shared" si="31"/>
        <v>5.5500000000000007</v>
      </c>
      <c r="AY20" s="5">
        <f t="shared" si="32"/>
        <v>1.1100000000000001</v>
      </c>
      <c r="AZ20" s="5">
        <f t="shared" si="33"/>
        <v>2.6577786622748683</v>
      </c>
      <c r="BB20" s="163">
        <v>10</v>
      </c>
      <c r="BC20" s="118">
        <f t="shared" si="58"/>
        <v>15</v>
      </c>
      <c r="BD20" s="118">
        <f t="shared" si="57"/>
        <v>108</v>
      </c>
      <c r="BE20" s="118">
        <v>12</v>
      </c>
      <c r="BF20" s="118">
        <f t="shared" si="59"/>
        <v>86.4</v>
      </c>
      <c r="BG20" s="183"/>
      <c r="BH20" s="163"/>
      <c r="BI20" s="167"/>
      <c r="BJ20" s="167"/>
      <c r="BK20" s="167"/>
      <c r="BL20" s="167"/>
      <c r="BN20" s="5">
        <f t="shared" si="0"/>
        <v>2.6577786622748683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163">
        <f t="shared" si="5"/>
        <v>0</v>
      </c>
      <c r="BT20" s="163">
        <f t="shared" si="6"/>
        <v>0</v>
      </c>
      <c r="BU20" s="163">
        <f t="shared" si="7"/>
        <v>0</v>
      </c>
      <c r="BV20" s="163">
        <f t="shared" si="8"/>
        <v>0</v>
      </c>
      <c r="BW20" s="163">
        <f t="shared" si="9"/>
        <v>0</v>
      </c>
      <c r="BX20" s="163">
        <f t="shared" si="10"/>
        <v>1</v>
      </c>
      <c r="BY20" s="163">
        <f t="shared" si="11"/>
        <v>0</v>
      </c>
      <c r="BZ20" s="163">
        <f t="shared" si="12"/>
        <v>0</v>
      </c>
      <c r="CA20" s="163">
        <f t="shared" si="13"/>
        <v>0</v>
      </c>
      <c r="CB20" s="163">
        <f t="shared" si="14"/>
        <v>0</v>
      </c>
      <c r="CC20" s="163">
        <f t="shared" si="34"/>
        <v>1</v>
      </c>
      <c r="CD20" s="163">
        <f t="shared" si="35"/>
        <v>0</v>
      </c>
      <c r="CE20" s="163">
        <f t="shared" si="36"/>
        <v>0</v>
      </c>
      <c r="CF20" s="163">
        <f t="shared" si="37"/>
        <v>0</v>
      </c>
      <c r="CG20" s="163">
        <f t="shared" si="38"/>
        <v>0</v>
      </c>
      <c r="CI20" s="167">
        <v>2.1</v>
      </c>
      <c r="CJ20" s="167">
        <v>4.3</v>
      </c>
      <c r="CK20" s="5">
        <f t="shared" si="56"/>
        <v>7.0400000000000009</v>
      </c>
      <c r="CL20" s="5">
        <f t="shared" si="39"/>
        <v>1.7</v>
      </c>
      <c r="CM20" s="5" t="str">
        <f t="shared" si="40"/>
        <v/>
      </c>
      <c r="CN20" s="5" t="str">
        <f t="shared" si="41"/>
        <v/>
      </c>
      <c r="CO20" s="5" t="str">
        <f t="shared" si="42"/>
        <v/>
      </c>
      <c r="CP20" s="5">
        <f t="shared" si="54"/>
        <v>1.8869999999999996</v>
      </c>
      <c r="CQ20" s="5" t="str">
        <f t="shared" si="43"/>
        <v/>
      </c>
      <c r="CR20" s="5" t="str">
        <f t="shared" si="44"/>
        <v/>
      </c>
      <c r="CS20" s="5" t="str">
        <f t="shared" si="45"/>
        <v/>
      </c>
      <c r="CT20" s="50">
        <f t="shared" si="46"/>
        <v>1</v>
      </c>
      <c r="CU20" s="50">
        <f t="shared" si="47"/>
        <v>0</v>
      </c>
      <c r="CV20" s="50">
        <f t="shared" si="48"/>
        <v>0</v>
      </c>
      <c r="CW20" s="50">
        <f t="shared" si="49"/>
        <v>0</v>
      </c>
      <c r="CX20" s="190">
        <f t="shared" si="55"/>
        <v>1</v>
      </c>
      <c r="CZ20" s="1">
        <v>1.95</v>
      </c>
      <c r="DA20" s="167">
        <f t="shared" si="50"/>
        <v>1.7</v>
      </c>
      <c r="DB20" s="1">
        <f>Alcantarillas!AX25</f>
        <v>11.5</v>
      </c>
      <c r="DC20" s="5">
        <f t="shared" si="51"/>
        <v>38.122500000000002</v>
      </c>
      <c r="DE20" s="172">
        <f t="shared" si="52"/>
        <v>390</v>
      </c>
      <c r="DF20" s="172">
        <f t="shared" si="53"/>
        <v>0</v>
      </c>
    </row>
    <row r="21" spans="3:110" x14ac:dyDescent="0.25">
      <c r="C21" s="163" t="s">
        <v>325</v>
      </c>
      <c r="D21" s="50">
        <f>ROUND(BN116,0)</f>
        <v>282</v>
      </c>
      <c r="E21" s="50">
        <f>ROUND(BP116,0)</f>
        <v>17</v>
      </c>
      <c r="F21" s="50">
        <f>ROUND(BQ116,0)</f>
        <v>11</v>
      </c>
      <c r="G21" s="50">
        <f>ROUND(BR116,0)</f>
        <v>19</v>
      </c>
      <c r="H21" s="50">
        <f>SUM(D21:G21)</f>
        <v>329</v>
      </c>
      <c r="N21">
        <v>16</v>
      </c>
      <c r="O21" s="24">
        <f>Alcantarillas!E26</f>
        <v>4661.6000000000004</v>
      </c>
      <c r="P21" s="160">
        <f>IF(Alcantarillas!J26=1.2,1,0)</f>
        <v>1</v>
      </c>
      <c r="Q21" s="160">
        <f>IF(Alcantarillas!J26=1.3,1,0)</f>
        <v>0</v>
      </c>
      <c r="R21" s="160">
        <f>IF(Alcantarillas!J26=1.4,1,0)</f>
        <v>0</v>
      </c>
      <c r="S21" s="160">
        <f>IF(Alcantarillas!L26=1.2,1,0)</f>
        <v>0</v>
      </c>
      <c r="T21" s="160">
        <f>IF(Alcantarillas!L26=1.5,1,0)</f>
        <v>0</v>
      </c>
      <c r="V21" s="160">
        <f>IF(Alcantarillas!J26=1.2,Alcantarillas!AX26,0)</f>
        <v>13</v>
      </c>
      <c r="W21" s="160">
        <f>IF(Alcantarillas!J26=1.3,Alcantarillas!AX26,0)</f>
        <v>0</v>
      </c>
      <c r="X21" s="160">
        <f>IF(Alcantarillas!J26=1.4,Alcantarillas!AX26,0)</f>
        <v>0</v>
      </c>
      <c r="Y21" s="160">
        <f>IF(Alcantarillas!L26=1.2,Alcantarillas!AX26,0)</f>
        <v>0</v>
      </c>
      <c r="Z21" s="160">
        <f>IF(Alcantarillas!L26=1.5,Alcantarillas!AX26,0)</f>
        <v>0</v>
      </c>
      <c r="AB21" s="21"/>
      <c r="AC21" s="5">
        <f t="shared" si="16"/>
        <v>2.2000000000000002</v>
      </c>
      <c r="AD21" s="21"/>
      <c r="AE21" s="5">
        <f t="shared" si="17"/>
        <v>1.1309733552923256</v>
      </c>
      <c r="AF21" s="5">
        <f t="shared" si="18"/>
        <v>0</v>
      </c>
      <c r="AG21" s="21"/>
      <c r="AH21" s="5">
        <f t="shared" si="19"/>
        <v>0</v>
      </c>
      <c r="AI21" s="5">
        <f t="shared" si="20"/>
        <v>0</v>
      </c>
      <c r="AJ21" s="5">
        <f t="shared" si="21"/>
        <v>5.2</v>
      </c>
      <c r="AK21" s="5">
        <f t="shared" si="22"/>
        <v>5.5500000000000007</v>
      </c>
      <c r="AL21" s="5">
        <f t="shared" si="23"/>
        <v>0</v>
      </c>
      <c r="AM21" s="5">
        <f t="shared" si="24"/>
        <v>0</v>
      </c>
      <c r="AO21" s="21">
        <v>1.65</v>
      </c>
      <c r="AP21" s="5">
        <f t="shared" si="25"/>
        <v>2.2000000000000002</v>
      </c>
      <c r="AQ21" s="21">
        <v>0.2</v>
      </c>
      <c r="AR21" s="5">
        <f t="shared" si="26"/>
        <v>1.1309733552923256</v>
      </c>
      <c r="AS21" s="5">
        <f t="shared" si="27"/>
        <v>0.49980532894153495</v>
      </c>
      <c r="AT21" s="21">
        <v>2.12</v>
      </c>
      <c r="AU21" s="5">
        <f t="shared" si="28"/>
        <v>1.9998666666666665</v>
      </c>
      <c r="AV21" s="5">
        <f t="shared" si="29"/>
        <v>0.39997333333333329</v>
      </c>
      <c r="AW21" s="5">
        <f t="shared" si="30"/>
        <v>5.2</v>
      </c>
      <c r="AX21" s="5">
        <f t="shared" si="31"/>
        <v>5.5500000000000007</v>
      </c>
      <c r="AY21" s="5">
        <f t="shared" si="32"/>
        <v>1.1100000000000001</v>
      </c>
      <c r="AZ21" s="5">
        <f t="shared" si="33"/>
        <v>2.0097786622748686</v>
      </c>
      <c r="BB21" s="163"/>
      <c r="BC21" s="118"/>
      <c r="BD21" s="118"/>
      <c r="BE21" s="118"/>
      <c r="BF21" s="118"/>
      <c r="BG21" s="183"/>
      <c r="BH21" s="163"/>
      <c r="BI21" s="167"/>
      <c r="BJ21" s="167"/>
      <c r="BK21" s="167"/>
      <c r="BL21" s="167"/>
      <c r="BN21" s="5">
        <f t="shared" si="0"/>
        <v>2.0097786622748686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163">
        <f t="shared" si="5"/>
        <v>0</v>
      </c>
      <c r="BT21" s="163">
        <f t="shared" si="6"/>
        <v>0</v>
      </c>
      <c r="BU21" s="163">
        <f t="shared" si="7"/>
        <v>0</v>
      </c>
      <c r="BV21" s="163">
        <f t="shared" si="8"/>
        <v>0</v>
      </c>
      <c r="BW21" s="163">
        <f t="shared" si="9"/>
        <v>0</v>
      </c>
      <c r="BX21" s="163">
        <f t="shared" si="10"/>
        <v>1</v>
      </c>
      <c r="BY21" s="163">
        <f t="shared" si="11"/>
        <v>0</v>
      </c>
      <c r="BZ21" s="163">
        <f t="shared" si="12"/>
        <v>0</v>
      </c>
      <c r="CA21" s="163">
        <f t="shared" si="13"/>
        <v>0</v>
      </c>
      <c r="CB21" s="163">
        <f t="shared" si="14"/>
        <v>0</v>
      </c>
      <c r="CC21" s="163">
        <f t="shared" si="34"/>
        <v>1</v>
      </c>
      <c r="CD21" s="163">
        <f t="shared" si="35"/>
        <v>0</v>
      </c>
      <c r="CE21" s="163">
        <f t="shared" si="36"/>
        <v>0</v>
      </c>
      <c r="CF21" s="163">
        <f t="shared" si="37"/>
        <v>0</v>
      </c>
      <c r="CG21" s="163">
        <f t="shared" si="38"/>
        <v>0</v>
      </c>
      <c r="CI21" s="167">
        <v>2.1</v>
      </c>
      <c r="CJ21" s="167">
        <v>4.9000000000000004</v>
      </c>
      <c r="CK21" s="5">
        <f t="shared" si="56"/>
        <v>7.7000000000000011</v>
      </c>
      <c r="CL21" s="5">
        <f t="shared" si="39"/>
        <v>1.7</v>
      </c>
      <c r="CM21" s="5" t="str">
        <f t="shared" si="40"/>
        <v/>
      </c>
      <c r="CN21" s="5" t="str">
        <f t="shared" si="41"/>
        <v/>
      </c>
      <c r="CO21" s="5" t="str">
        <f t="shared" si="42"/>
        <v/>
      </c>
      <c r="CP21" s="5">
        <f t="shared" si="54"/>
        <v>2.04</v>
      </c>
      <c r="CQ21" s="5" t="str">
        <f t="shared" si="43"/>
        <v/>
      </c>
      <c r="CR21" s="5" t="str">
        <f t="shared" si="44"/>
        <v/>
      </c>
      <c r="CS21" s="5" t="str">
        <f t="shared" si="45"/>
        <v/>
      </c>
      <c r="CT21" s="50">
        <f t="shared" si="46"/>
        <v>1</v>
      </c>
      <c r="CU21" s="50">
        <f t="shared" si="47"/>
        <v>0</v>
      </c>
      <c r="CV21" s="50">
        <f t="shared" si="48"/>
        <v>0</v>
      </c>
      <c r="CW21" s="50">
        <f t="shared" si="49"/>
        <v>0</v>
      </c>
      <c r="CX21" s="190">
        <f t="shared" si="55"/>
        <v>1</v>
      </c>
      <c r="CZ21" s="1">
        <v>1.95</v>
      </c>
      <c r="DA21" s="167">
        <f t="shared" si="50"/>
        <v>1.7</v>
      </c>
      <c r="DB21" s="1">
        <f>Alcantarillas!AX26</f>
        <v>13</v>
      </c>
      <c r="DC21" s="5">
        <f t="shared" si="51"/>
        <v>43.094999999999999</v>
      </c>
      <c r="DE21" s="172">
        <f t="shared" si="52"/>
        <v>0</v>
      </c>
      <c r="DF21" s="172">
        <f t="shared" si="53"/>
        <v>0</v>
      </c>
    </row>
    <row r="22" spans="3:110" x14ac:dyDescent="0.25">
      <c r="C22" s="188" t="s">
        <v>326</v>
      </c>
      <c r="D22" s="154">
        <f>CC116</f>
        <v>129</v>
      </c>
      <c r="E22" s="192">
        <f>CE116</f>
        <v>7</v>
      </c>
      <c r="F22" s="192">
        <f>CF116</f>
        <v>5</v>
      </c>
      <c r="G22" s="192">
        <f>CG116</f>
        <v>8</v>
      </c>
      <c r="H22" s="158">
        <f>SUM(D22:G22)</f>
        <v>149</v>
      </c>
      <c r="N22">
        <v>17</v>
      </c>
      <c r="O22" s="24">
        <f>Alcantarillas!E27</f>
        <v>4785</v>
      </c>
      <c r="P22" s="160">
        <f>IF(Alcantarillas!J27=1.2,1,0)</f>
        <v>1</v>
      </c>
      <c r="Q22" s="160">
        <f>IF(Alcantarillas!J27=1.3,1,0)</f>
        <v>0</v>
      </c>
      <c r="R22" s="160">
        <f>IF(Alcantarillas!J27=1.4,1,0)</f>
        <v>0</v>
      </c>
      <c r="S22" s="160">
        <f>IF(Alcantarillas!L27=1.2,1,0)</f>
        <v>0</v>
      </c>
      <c r="T22" s="160">
        <f>IF(Alcantarillas!L27=1.5,1,0)</f>
        <v>0</v>
      </c>
      <c r="V22" s="160">
        <f>IF(Alcantarillas!J27=1.2,Alcantarillas!AX27,0)</f>
        <v>9</v>
      </c>
      <c r="W22" s="160">
        <f>IF(Alcantarillas!J27=1.3,Alcantarillas!AX27,0)</f>
        <v>0</v>
      </c>
      <c r="X22" s="160">
        <f>IF(Alcantarillas!J27=1.4,Alcantarillas!AX27,0)</f>
        <v>0</v>
      </c>
      <c r="Y22" s="160">
        <f>IF(Alcantarillas!L27=1.2,Alcantarillas!AX27,0)</f>
        <v>0</v>
      </c>
      <c r="Z22" s="160">
        <f>IF(Alcantarillas!L27=1.5,Alcantarillas!AX27,0)</f>
        <v>0</v>
      </c>
      <c r="AB22" s="21">
        <v>2</v>
      </c>
      <c r="AC22" s="5">
        <f t="shared" si="16"/>
        <v>2.2000000000000002</v>
      </c>
      <c r="AD22" s="21">
        <v>0.2</v>
      </c>
      <c r="AE22" s="5">
        <f t="shared" si="17"/>
        <v>1.1309733552923256</v>
      </c>
      <c r="AF22" s="5">
        <f t="shared" si="18"/>
        <v>0.65380532894153509</v>
      </c>
      <c r="AG22" s="21">
        <v>2.12</v>
      </c>
      <c r="AH22" s="5">
        <f t="shared" si="19"/>
        <v>2.7418666666666667</v>
      </c>
      <c r="AI22" s="5">
        <f t="shared" si="20"/>
        <v>0.54837333333333338</v>
      </c>
      <c r="AJ22" s="5">
        <f t="shared" si="21"/>
        <v>5.2</v>
      </c>
      <c r="AK22" s="5">
        <f t="shared" si="22"/>
        <v>5.5500000000000007</v>
      </c>
      <c r="AL22" s="5">
        <f t="shared" si="23"/>
        <v>1.1100000000000001</v>
      </c>
      <c r="AM22" s="5">
        <f t="shared" si="24"/>
        <v>2.3121786622748686</v>
      </c>
      <c r="AO22" s="21">
        <v>2.1</v>
      </c>
      <c r="AP22" s="5">
        <f t="shared" si="25"/>
        <v>2.2000000000000002</v>
      </c>
      <c r="AQ22" s="21">
        <v>0.2</v>
      </c>
      <c r="AR22" s="5">
        <f t="shared" si="26"/>
        <v>1.1309733552923256</v>
      </c>
      <c r="AS22" s="5">
        <f t="shared" si="27"/>
        <v>0.69780532894153513</v>
      </c>
      <c r="AT22" s="21">
        <v>2.12</v>
      </c>
      <c r="AU22" s="5">
        <f t="shared" si="28"/>
        <v>2.9538666666666673</v>
      </c>
      <c r="AV22" s="5">
        <f t="shared" si="29"/>
        <v>0.59077333333333348</v>
      </c>
      <c r="AW22" s="5">
        <f t="shared" si="30"/>
        <v>5.2</v>
      </c>
      <c r="AX22" s="5">
        <f t="shared" si="31"/>
        <v>5.5500000000000007</v>
      </c>
      <c r="AY22" s="5">
        <f t="shared" si="32"/>
        <v>1.1100000000000001</v>
      </c>
      <c r="AZ22" s="5">
        <f t="shared" si="33"/>
        <v>2.3985786622748684</v>
      </c>
      <c r="BB22" s="163">
        <v>14</v>
      </c>
      <c r="BC22" s="118">
        <f t="shared" si="58"/>
        <v>21</v>
      </c>
      <c r="BD22" s="118">
        <f t="shared" si="57"/>
        <v>151.20000000000002</v>
      </c>
      <c r="BE22" s="118">
        <v>15</v>
      </c>
      <c r="BF22" s="118">
        <f t="shared" si="59"/>
        <v>108</v>
      </c>
      <c r="BG22" s="183"/>
      <c r="BH22" s="163"/>
      <c r="BI22" s="167"/>
      <c r="BJ22" s="167"/>
      <c r="BK22" s="167"/>
      <c r="BL22" s="167"/>
      <c r="BN22" s="5">
        <f t="shared" si="0"/>
        <v>4.7107573245497374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163">
        <f t="shared" si="5"/>
        <v>1</v>
      </c>
      <c r="BT22" s="163">
        <f t="shared" si="6"/>
        <v>0</v>
      </c>
      <c r="BU22" s="163">
        <f t="shared" si="7"/>
        <v>0</v>
      </c>
      <c r="BV22" s="163">
        <f t="shared" si="8"/>
        <v>0</v>
      </c>
      <c r="BW22" s="163">
        <f t="shared" si="9"/>
        <v>0</v>
      </c>
      <c r="BX22" s="163">
        <f t="shared" si="10"/>
        <v>1</v>
      </c>
      <c r="BY22" s="163">
        <f t="shared" si="11"/>
        <v>0</v>
      </c>
      <c r="BZ22" s="163">
        <f t="shared" si="12"/>
        <v>0</v>
      </c>
      <c r="CA22" s="163">
        <f t="shared" si="13"/>
        <v>0</v>
      </c>
      <c r="CB22" s="163">
        <f t="shared" si="14"/>
        <v>0</v>
      </c>
      <c r="CC22" s="163">
        <f t="shared" si="34"/>
        <v>2</v>
      </c>
      <c r="CD22" s="163">
        <f t="shared" si="35"/>
        <v>0</v>
      </c>
      <c r="CE22" s="163">
        <f t="shared" si="36"/>
        <v>0</v>
      </c>
      <c r="CF22" s="163">
        <f t="shared" si="37"/>
        <v>0</v>
      </c>
      <c r="CG22" s="163">
        <f t="shared" si="38"/>
        <v>0</v>
      </c>
      <c r="CI22" s="167"/>
      <c r="CJ22" s="167"/>
      <c r="CK22" s="5"/>
      <c r="CL22" s="5"/>
      <c r="CM22" s="5" t="str">
        <f t="shared" si="40"/>
        <v/>
      </c>
      <c r="CN22" s="5" t="str">
        <f t="shared" si="41"/>
        <v/>
      </c>
      <c r="CO22" s="5" t="str">
        <f t="shared" si="42"/>
        <v/>
      </c>
      <c r="CP22" s="5" t="str">
        <f t="shared" si="54"/>
        <v/>
      </c>
      <c r="CQ22" s="5" t="str">
        <f t="shared" si="43"/>
        <v/>
      </c>
      <c r="CR22" s="5" t="str">
        <f t="shared" si="44"/>
        <v/>
      </c>
      <c r="CS22" s="5" t="str">
        <f t="shared" si="45"/>
        <v/>
      </c>
      <c r="CT22" s="50">
        <f t="shared" si="46"/>
        <v>0</v>
      </c>
      <c r="CU22" s="50">
        <f t="shared" si="47"/>
        <v>0</v>
      </c>
      <c r="CV22" s="50">
        <f t="shared" si="48"/>
        <v>0</v>
      </c>
      <c r="CW22" s="50">
        <f t="shared" si="49"/>
        <v>0</v>
      </c>
      <c r="CX22" s="190">
        <f t="shared" si="55"/>
        <v>0</v>
      </c>
      <c r="CZ22" s="1">
        <v>2.1</v>
      </c>
      <c r="DA22" s="167">
        <f t="shared" si="50"/>
        <v>1.7</v>
      </c>
      <c r="DB22" s="1">
        <f>Alcantarillas!AX27</f>
        <v>9</v>
      </c>
      <c r="DC22" s="5">
        <f t="shared" si="51"/>
        <v>32.129999999999995</v>
      </c>
      <c r="DE22" s="172">
        <f t="shared" si="52"/>
        <v>546</v>
      </c>
      <c r="DF22" s="172">
        <f t="shared" si="53"/>
        <v>0</v>
      </c>
    </row>
    <row r="23" spans="3:110" x14ac:dyDescent="0.25">
      <c r="C23" s="188" t="s">
        <v>359</v>
      </c>
      <c r="D23" s="255">
        <f>D21*15</f>
        <v>4230</v>
      </c>
      <c r="E23" s="255">
        <f>E21*15</f>
        <v>255</v>
      </c>
      <c r="F23" s="255">
        <f>F21*15</f>
        <v>165</v>
      </c>
      <c r="G23" s="255">
        <f>G21*15</f>
        <v>285</v>
      </c>
      <c r="H23" s="255">
        <f>SUM(D23:G23)</f>
        <v>4935</v>
      </c>
      <c r="N23">
        <v>18</v>
      </c>
      <c r="O23" s="24">
        <f>Alcantarillas!E28</f>
        <v>4978</v>
      </c>
      <c r="P23" s="160">
        <f>IF(Alcantarillas!J28=1.2,1,0)</f>
        <v>1</v>
      </c>
      <c r="Q23" s="160">
        <f>IF(Alcantarillas!J28=1.3,1,0)</f>
        <v>0</v>
      </c>
      <c r="R23" s="160">
        <f>IF(Alcantarillas!J28=1.4,1,0)</f>
        <v>0</v>
      </c>
      <c r="S23" s="160">
        <f>IF(Alcantarillas!L28=1.2,1,0)</f>
        <v>0</v>
      </c>
      <c r="T23" s="160">
        <f>IF(Alcantarillas!L28=1.5,1,0)</f>
        <v>0</v>
      </c>
      <c r="V23" s="160">
        <f>IF(Alcantarillas!J28=1.2,Alcantarillas!AX28,0)</f>
        <v>15</v>
      </c>
      <c r="W23" s="160">
        <f>IF(Alcantarillas!J28=1.3,Alcantarillas!AX28,0)</f>
        <v>0</v>
      </c>
      <c r="X23" s="160">
        <f>IF(Alcantarillas!J28=1.4,Alcantarillas!AX28,0)</f>
        <v>0</v>
      </c>
      <c r="Y23" s="160">
        <f>IF(Alcantarillas!L28=1.2,Alcantarillas!AX28,0)</f>
        <v>0</v>
      </c>
      <c r="Z23" s="160">
        <f>IF(Alcantarillas!L28=1.5,Alcantarillas!AX28,0)</f>
        <v>0</v>
      </c>
      <c r="AB23" s="21">
        <v>2.5</v>
      </c>
      <c r="AC23" s="5">
        <f t="shared" si="16"/>
        <v>2.2000000000000002</v>
      </c>
      <c r="AD23" s="21">
        <v>0.2</v>
      </c>
      <c r="AE23" s="5">
        <f t="shared" si="17"/>
        <v>1.1309733552923256</v>
      </c>
      <c r="AF23" s="5">
        <f t="shared" si="18"/>
        <v>0.87380532894153495</v>
      </c>
      <c r="AG23" s="21">
        <v>2.12</v>
      </c>
      <c r="AH23" s="5">
        <f t="shared" si="19"/>
        <v>3.8018666666666672</v>
      </c>
      <c r="AI23" s="5">
        <f t="shared" si="20"/>
        <v>0.76037333333333346</v>
      </c>
      <c r="AJ23" s="5">
        <f t="shared" si="21"/>
        <v>5.2</v>
      </c>
      <c r="AK23" s="5">
        <f t="shared" si="22"/>
        <v>5.5500000000000007</v>
      </c>
      <c r="AL23" s="5">
        <f t="shared" si="23"/>
        <v>1.1100000000000001</v>
      </c>
      <c r="AM23" s="5">
        <f t="shared" si="24"/>
        <v>2.7441786622748685</v>
      </c>
      <c r="AO23" s="21">
        <v>1.9</v>
      </c>
      <c r="AP23" s="5">
        <f t="shared" si="25"/>
        <v>2.2000000000000002</v>
      </c>
      <c r="AQ23" s="21">
        <v>0.2</v>
      </c>
      <c r="AR23" s="5">
        <f t="shared" si="26"/>
        <v>1.1309733552923256</v>
      </c>
      <c r="AS23" s="5">
        <f t="shared" si="27"/>
        <v>0.60980532894153494</v>
      </c>
      <c r="AT23" s="21">
        <v>2.12</v>
      </c>
      <c r="AU23" s="5">
        <f t="shared" si="28"/>
        <v>2.529866666666666</v>
      </c>
      <c r="AV23" s="5">
        <f t="shared" si="29"/>
        <v>0.50597333333333327</v>
      </c>
      <c r="AW23" s="5">
        <f t="shared" si="30"/>
        <v>5.2</v>
      </c>
      <c r="AX23" s="5">
        <f t="shared" si="31"/>
        <v>5.5500000000000007</v>
      </c>
      <c r="AY23" s="5">
        <f t="shared" si="32"/>
        <v>1.1100000000000001</v>
      </c>
      <c r="AZ23" s="5">
        <f t="shared" si="33"/>
        <v>2.2257786622748683</v>
      </c>
      <c r="BB23" s="163"/>
      <c r="BC23" s="118"/>
      <c r="BD23" s="118"/>
      <c r="BE23" s="118"/>
      <c r="BF23" s="118"/>
      <c r="BG23" s="183"/>
      <c r="BH23" s="163"/>
      <c r="BI23" s="167"/>
      <c r="BJ23" s="167"/>
      <c r="BK23" s="167"/>
      <c r="BL23" s="167"/>
      <c r="BN23" s="5">
        <f t="shared" si="0"/>
        <v>4.9699573245497373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163">
        <f t="shared" si="5"/>
        <v>1</v>
      </c>
      <c r="BT23" s="163">
        <f t="shared" si="6"/>
        <v>0</v>
      </c>
      <c r="BU23" s="163">
        <f t="shared" si="7"/>
        <v>0</v>
      </c>
      <c r="BV23" s="163">
        <f t="shared" si="8"/>
        <v>0</v>
      </c>
      <c r="BW23" s="163">
        <f t="shared" si="9"/>
        <v>0</v>
      </c>
      <c r="BX23" s="163">
        <f t="shared" si="10"/>
        <v>1</v>
      </c>
      <c r="BY23" s="163">
        <f t="shared" si="11"/>
        <v>0</v>
      </c>
      <c r="BZ23" s="163">
        <f t="shared" si="12"/>
        <v>0</v>
      </c>
      <c r="CA23" s="163">
        <f t="shared" si="13"/>
        <v>0</v>
      </c>
      <c r="CB23" s="163">
        <f t="shared" si="14"/>
        <v>0</v>
      </c>
      <c r="CC23" s="163">
        <f t="shared" si="34"/>
        <v>2</v>
      </c>
      <c r="CD23" s="163">
        <f t="shared" si="35"/>
        <v>0</v>
      </c>
      <c r="CE23" s="163">
        <f t="shared" si="36"/>
        <v>0</v>
      </c>
      <c r="CF23" s="163">
        <f t="shared" si="37"/>
        <v>0</v>
      </c>
      <c r="CG23" s="163">
        <f t="shared" si="38"/>
        <v>0</v>
      </c>
      <c r="CI23" s="167"/>
      <c r="CJ23" s="167"/>
      <c r="CK23" s="5"/>
      <c r="CL23" s="5"/>
      <c r="CM23" s="5" t="str">
        <f t="shared" si="40"/>
        <v/>
      </c>
      <c r="CN23" s="5" t="str">
        <f t="shared" si="41"/>
        <v/>
      </c>
      <c r="CO23" s="5" t="str">
        <f t="shared" si="42"/>
        <v/>
      </c>
      <c r="CP23" s="5" t="str">
        <f t="shared" si="54"/>
        <v/>
      </c>
      <c r="CQ23" s="5" t="str">
        <f t="shared" si="43"/>
        <v/>
      </c>
      <c r="CR23" s="5" t="str">
        <f t="shared" si="44"/>
        <v/>
      </c>
      <c r="CS23" s="5" t="str">
        <f t="shared" si="45"/>
        <v/>
      </c>
      <c r="CT23" s="50">
        <f t="shared" si="46"/>
        <v>0</v>
      </c>
      <c r="CU23" s="50">
        <f t="shared" si="47"/>
        <v>0</v>
      </c>
      <c r="CV23" s="50">
        <f t="shared" si="48"/>
        <v>0</v>
      </c>
      <c r="CW23" s="50">
        <f t="shared" si="49"/>
        <v>0</v>
      </c>
      <c r="CX23" s="190">
        <f t="shared" si="55"/>
        <v>0</v>
      </c>
      <c r="CZ23" s="1">
        <v>2.1</v>
      </c>
      <c r="DA23" s="167">
        <f t="shared" si="50"/>
        <v>1.7</v>
      </c>
      <c r="DB23" s="1">
        <f>Alcantarillas!AX28</f>
        <v>15</v>
      </c>
      <c r="DC23" s="5">
        <f t="shared" si="51"/>
        <v>53.55</v>
      </c>
      <c r="DE23" s="172">
        <f t="shared" si="52"/>
        <v>0</v>
      </c>
      <c r="DF23" s="172">
        <f t="shared" si="53"/>
        <v>0</v>
      </c>
    </row>
    <row r="24" spans="3:110" x14ac:dyDescent="0.25">
      <c r="C24" s="189" t="s">
        <v>360</v>
      </c>
      <c r="D24" s="256"/>
      <c r="E24" s="256"/>
      <c r="F24" s="256"/>
      <c r="G24" s="256"/>
      <c r="H24" s="256"/>
      <c r="N24">
        <v>19</v>
      </c>
      <c r="O24" s="24">
        <f>Alcantarillas!E29</f>
        <v>5230</v>
      </c>
      <c r="P24" s="160">
        <f>IF(Alcantarillas!J29=1.2,1,0)</f>
        <v>1</v>
      </c>
      <c r="Q24" s="160">
        <f>IF(Alcantarillas!J29=1.3,1,0)</f>
        <v>0</v>
      </c>
      <c r="R24" s="160">
        <f>IF(Alcantarillas!J29=1.4,1,0)</f>
        <v>0</v>
      </c>
      <c r="S24" s="160">
        <f>IF(Alcantarillas!L29=1.2,1,0)</f>
        <v>0</v>
      </c>
      <c r="T24" s="160">
        <f>IF(Alcantarillas!L29=1.5,1,0)</f>
        <v>0</v>
      </c>
      <c r="V24" s="160">
        <f>IF(Alcantarillas!J29=1.2,Alcantarillas!AX29,0)</f>
        <v>9.5500000000000007</v>
      </c>
      <c r="W24" s="160">
        <f>IF(Alcantarillas!J29=1.3,Alcantarillas!AX29,0)</f>
        <v>0</v>
      </c>
      <c r="X24" s="160">
        <f>IF(Alcantarillas!J29=1.4,Alcantarillas!AX29,0)</f>
        <v>0</v>
      </c>
      <c r="Y24" s="160">
        <f>IF(Alcantarillas!L29=1.2,Alcantarillas!AX29,0)</f>
        <v>0</v>
      </c>
      <c r="Z24" s="160">
        <f>IF(Alcantarillas!L29=1.5,Alcantarillas!AX29,0)</f>
        <v>0</v>
      </c>
      <c r="AB24" s="21"/>
      <c r="AC24" s="5">
        <f t="shared" si="16"/>
        <v>2.2000000000000002</v>
      </c>
      <c r="AD24" s="21"/>
      <c r="AE24" s="5">
        <f t="shared" si="17"/>
        <v>1.1309733552923256</v>
      </c>
      <c r="AF24" s="5">
        <f t="shared" si="18"/>
        <v>0</v>
      </c>
      <c r="AG24" s="21"/>
      <c r="AH24" s="5">
        <f t="shared" si="19"/>
        <v>0</v>
      </c>
      <c r="AI24" s="5">
        <f t="shared" si="20"/>
        <v>0</v>
      </c>
      <c r="AJ24" s="5">
        <f t="shared" si="21"/>
        <v>5.2</v>
      </c>
      <c r="AK24" s="5">
        <f t="shared" si="22"/>
        <v>5.5500000000000007</v>
      </c>
      <c r="AL24" s="5">
        <f t="shared" si="23"/>
        <v>0</v>
      </c>
      <c r="AM24" s="5">
        <f t="shared" si="24"/>
        <v>0</v>
      </c>
      <c r="AO24" s="21">
        <v>2.2000000000000002</v>
      </c>
      <c r="AP24" s="5">
        <f t="shared" si="25"/>
        <v>2.2000000000000002</v>
      </c>
      <c r="AQ24" s="21">
        <v>0.2</v>
      </c>
      <c r="AR24" s="5">
        <f t="shared" si="26"/>
        <v>1.1309733552923256</v>
      </c>
      <c r="AS24" s="5">
        <f t="shared" si="27"/>
        <v>0.74180532894153517</v>
      </c>
      <c r="AT24" s="21">
        <v>2.12</v>
      </c>
      <c r="AU24" s="5">
        <f t="shared" si="28"/>
        <v>3.1658666666666671</v>
      </c>
      <c r="AV24" s="5">
        <f t="shared" si="29"/>
        <v>0.63317333333333348</v>
      </c>
      <c r="AW24" s="5">
        <f t="shared" si="30"/>
        <v>5.2</v>
      </c>
      <c r="AX24" s="5">
        <f t="shared" si="31"/>
        <v>5.5500000000000007</v>
      </c>
      <c r="AY24" s="5">
        <f t="shared" si="32"/>
        <v>1.1100000000000001</v>
      </c>
      <c r="AZ24" s="5">
        <f t="shared" si="33"/>
        <v>2.4849786622748686</v>
      </c>
      <c r="BB24" s="163"/>
      <c r="BC24" s="118"/>
      <c r="BD24" s="118"/>
      <c r="BE24" s="118"/>
      <c r="BF24" s="118"/>
      <c r="BG24" s="183"/>
      <c r="BH24" s="163"/>
      <c r="BI24" s="167"/>
      <c r="BJ24" s="167"/>
      <c r="BK24" s="167"/>
      <c r="BL24" s="167"/>
      <c r="BN24" s="5">
        <f t="shared" si="0"/>
        <v>2.4849786622748686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163">
        <f t="shared" si="5"/>
        <v>0</v>
      </c>
      <c r="BT24" s="163">
        <f t="shared" si="6"/>
        <v>0</v>
      </c>
      <c r="BU24" s="163">
        <f t="shared" si="7"/>
        <v>0</v>
      </c>
      <c r="BV24" s="163">
        <f t="shared" si="8"/>
        <v>0</v>
      </c>
      <c r="BW24" s="163">
        <f t="shared" si="9"/>
        <v>0</v>
      </c>
      <c r="BX24" s="163">
        <f t="shared" si="10"/>
        <v>1</v>
      </c>
      <c r="BY24" s="163">
        <f t="shared" si="11"/>
        <v>0</v>
      </c>
      <c r="BZ24" s="163">
        <f t="shared" si="12"/>
        <v>0</v>
      </c>
      <c r="CA24" s="163">
        <f t="shared" si="13"/>
        <v>0</v>
      </c>
      <c r="CB24" s="163">
        <f t="shared" si="14"/>
        <v>0</v>
      </c>
      <c r="CC24" s="163">
        <f t="shared" si="34"/>
        <v>1</v>
      </c>
      <c r="CD24" s="163">
        <f t="shared" si="35"/>
        <v>0</v>
      </c>
      <c r="CE24" s="163">
        <f t="shared" si="36"/>
        <v>0</v>
      </c>
      <c r="CF24" s="163">
        <f t="shared" si="37"/>
        <v>0</v>
      </c>
      <c r="CG24" s="163">
        <f t="shared" si="38"/>
        <v>0</v>
      </c>
      <c r="CI24" s="167">
        <v>2.1</v>
      </c>
      <c r="CJ24" s="167">
        <v>4.7</v>
      </c>
      <c r="CK24" s="5">
        <f t="shared" si="56"/>
        <v>7.4800000000000013</v>
      </c>
      <c r="CL24" s="5">
        <f t="shared" si="39"/>
        <v>1.7</v>
      </c>
      <c r="CM24" s="5" t="str">
        <f t="shared" si="40"/>
        <v/>
      </c>
      <c r="CN24" s="5" t="str">
        <f t="shared" si="41"/>
        <v/>
      </c>
      <c r="CO24" s="5" t="str">
        <f t="shared" si="42"/>
        <v/>
      </c>
      <c r="CP24" s="5">
        <f t="shared" si="54"/>
        <v>1.9889999999999999</v>
      </c>
      <c r="CQ24" s="5" t="str">
        <f t="shared" si="43"/>
        <v/>
      </c>
      <c r="CR24" s="5" t="str">
        <f t="shared" si="44"/>
        <v/>
      </c>
      <c r="CS24" s="5" t="str">
        <f t="shared" si="45"/>
        <v/>
      </c>
      <c r="CT24" s="50">
        <f t="shared" si="46"/>
        <v>1</v>
      </c>
      <c r="CU24" s="50">
        <f t="shared" si="47"/>
        <v>0</v>
      </c>
      <c r="CV24" s="50">
        <f t="shared" si="48"/>
        <v>0</v>
      </c>
      <c r="CW24" s="50">
        <f t="shared" si="49"/>
        <v>0</v>
      </c>
      <c r="CX24" s="190">
        <f t="shared" si="55"/>
        <v>1</v>
      </c>
      <c r="CZ24" s="1">
        <v>1.95</v>
      </c>
      <c r="DA24" s="167">
        <f t="shared" si="50"/>
        <v>1.7</v>
      </c>
      <c r="DB24" s="1">
        <f>Alcantarillas!AX29</f>
        <v>9.5500000000000007</v>
      </c>
      <c r="DC24" s="5">
        <f t="shared" si="51"/>
        <v>31.658250000000002</v>
      </c>
      <c r="DE24" s="172">
        <f t="shared" si="52"/>
        <v>0</v>
      </c>
      <c r="DF24" s="172">
        <f t="shared" si="53"/>
        <v>0</v>
      </c>
    </row>
    <row r="25" spans="3:110" x14ac:dyDescent="0.25">
      <c r="N25">
        <v>20</v>
      </c>
      <c r="O25" s="24">
        <f>Alcantarillas!E30</f>
        <v>5494</v>
      </c>
      <c r="P25" s="160">
        <f>IF(Alcantarillas!J30=1.2,1,0)</f>
        <v>1</v>
      </c>
      <c r="Q25" s="160">
        <f>IF(Alcantarillas!J30=1.3,1,0)</f>
        <v>0</v>
      </c>
      <c r="R25" s="160">
        <f>IF(Alcantarillas!J30=1.4,1,0)</f>
        <v>0</v>
      </c>
      <c r="S25" s="160">
        <f>IF(Alcantarillas!L30=1.2,1,0)</f>
        <v>0</v>
      </c>
      <c r="T25" s="160">
        <f>IF(Alcantarillas!L30=1.5,1,0)</f>
        <v>0</v>
      </c>
      <c r="V25" s="160">
        <f>IF(Alcantarillas!J30=1.2,Alcantarillas!AX30,0)</f>
        <v>9.4499999999999993</v>
      </c>
      <c r="W25" s="160">
        <f>IF(Alcantarillas!J30=1.3,Alcantarillas!AX30,0)</f>
        <v>0</v>
      </c>
      <c r="X25" s="160">
        <f>IF(Alcantarillas!J30=1.4,Alcantarillas!AX30,0)</f>
        <v>0</v>
      </c>
      <c r="Y25" s="160">
        <f>IF(Alcantarillas!L30=1.2,Alcantarillas!AX30,0)</f>
        <v>0</v>
      </c>
      <c r="Z25" s="160">
        <f>IF(Alcantarillas!L30=1.5,Alcantarillas!AX30,0)</f>
        <v>0</v>
      </c>
      <c r="AB25" s="21">
        <v>1.7</v>
      </c>
      <c r="AC25" s="5">
        <f t="shared" si="16"/>
        <v>2.2000000000000002</v>
      </c>
      <c r="AD25" s="21">
        <v>0.2</v>
      </c>
      <c r="AE25" s="5">
        <f t="shared" si="17"/>
        <v>1.1309733552923256</v>
      </c>
      <c r="AF25" s="5">
        <f t="shared" si="18"/>
        <v>0.52180532894153497</v>
      </c>
      <c r="AG25" s="21">
        <v>2.12</v>
      </c>
      <c r="AH25" s="5">
        <f t="shared" si="19"/>
        <v>2.1058666666666666</v>
      </c>
      <c r="AI25" s="5">
        <f t="shared" si="20"/>
        <v>0.42117333333333334</v>
      </c>
      <c r="AJ25" s="5">
        <f t="shared" si="21"/>
        <v>5.2</v>
      </c>
      <c r="AK25" s="5">
        <f t="shared" si="22"/>
        <v>5.5500000000000007</v>
      </c>
      <c r="AL25" s="5">
        <f t="shared" si="23"/>
        <v>1.1100000000000001</v>
      </c>
      <c r="AM25" s="5">
        <f t="shared" si="24"/>
        <v>2.0529786622748682</v>
      </c>
      <c r="AO25" s="21">
        <v>1.9</v>
      </c>
      <c r="AP25" s="5">
        <f t="shared" si="25"/>
        <v>2.2000000000000002</v>
      </c>
      <c r="AQ25" s="21">
        <v>0.2</v>
      </c>
      <c r="AR25" s="5">
        <f t="shared" si="26"/>
        <v>1.1309733552923256</v>
      </c>
      <c r="AS25" s="5">
        <f t="shared" si="27"/>
        <v>0.60980532894153494</v>
      </c>
      <c r="AT25" s="21">
        <v>2.12</v>
      </c>
      <c r="AU25" s="5">
        <f t="shared" si="28"/>
        <v>2.529866666666666</v>
      </c>
      <c r="AV25" s="5">
        <f t="shared" si="29"/>
        <v>0.50597333333333327</v>
      </c>
      <c r="AW25" s="5">
        <f t="shared" si="30"/>
        <v>5.2</v>
      </c>
      <c r="AX25" s="5">
        <f t="shared" si="31"/>
        <v>5.5500000000000007</v>
      </c>
      <c r="AY25" s="5">
        <f t="shared" si="32"/>
        <v>1.1100000000000001</v>
      </c>
      <c r="AZ25" s="5">
        <f t="shared" si="33"/>
        <v>2.2257786622748683</v>
      </c>
      <c r="BB25" s="163"/>
      <c r="BC25" s="118"/>
      <c r="BD25" s="118"/>
      <c r="BE25" s="118"/>
      <c r="BF25" s="118"/>
      <c r="BG25" s="183"/>
      <c r="BH25" s="163"/>
      <c r="BI25" s="167"/>
      <c r="BJ25" s="167"/>
      <c r="BK25" s="167"/>
      <c r="BL25" s="167"/>
      <c r="BN25" s="5">
        <f t="shared" si="0"/>
        <v>4.278757324549737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163">
        <f t="shared" si="5"/>
        <v>1</v>
      </c>
      <c r="BT25" s="163">
        <f t="shared" si="6"/>
        <v>0</v>
      </c>
      <c r="BU25" s="163">
        <f t="shared" si="7"/>
        <v>0</v>
      </c>
      <c r="BV25" s="163">
        <f t="shared" si="8"/>
        <v>0</v>
      </c>
      <c r="BW25" s="163">
        <f t="shared" si="9"/>
        <v>0</v>
      </c>
      <c r="BX25" s="163">
        <f t="shared" si="10"/>
        <v>1</v>
      </c>
      <c r="BY25" s="163">
        <f t="shared" si="11"/>
        <v>0</v>
      </c>
      <c r="BZ25" s="163">
        <f t="shared" si="12"/>
        <v>0</v>
      </c>
      <c r="CA25" s="163">
        <f t="shared" si="13"/>
        <v>0</v>
      </c>
      <c r="CB25" s="163">
        <f t="shared" si="14"/>
        <v>0</v>
      </c>
      <c r="CC25" s="163">
        <f t="shared" si="34"/>
        <v>2</v>
      </c>
      <c r="CD25" s="163">
        <f t="shared" si="35"/>
        <v>0</v>
      </c>
      <c r="CE25" s="163">
        <f t="shared" si="36"/>
        <v>0</v>
      </c>
      <c r="CF25" s="163">
        <f t="shared" si="37"/>
        <v>0</v>
      </c>
      <c r="CG25" s="163">
        <f t="shared" si="38"/>
        <v>0</v>
      </c>
      <c r="CI25" s="167"/>
      <c r="CJ25" s="167"/>
      <c r="CK25" s="5"/>
      <c r="CL25" s="5"/>
      <c r="CM25" s="5" t="str">
        <f t="shared" si="40"/>
        <v/>
      </c>
      <c r="CN25" s="5" t="str">
        <f t="shared" si="41"/>
        <v/>
      </c>
      <c r="CO25" s="5" t="str">
        <f t="shared" si="42"/>
        <v/>
      </c>
      <c r="CP25" s="5" t="str">
        <f t="shared" si="54"/>
        <v/>
      </c>
      <c r="CQ25" s="5" t="str">
        <f t="shared" si="43"/>
        <v/>
      </c>
      <c r="CR25" s="5" t="str">
        <f t="shared" si="44"/>
        <v/>
      </c>
      <c r="CS25" s="5" t="str">
        <f t="shared" si="45"/>
        <v/>
      </c>
      <c r="CT25" s="50">
        <f t="shared" si="46"/>
        <v>0</v>
      </c>
      <c r="CU25" s="50">
        <f t="shared" si="47"/>
        <v>0</v>
      </c>
      <c r="CV25" s="50">
        <f t="shared" si="48"/>
        <v>0</v>
      </c>
      <c r="CW25" s="50">
        <f t="shared" si="49"/>
        <v>0</v>
      </c>
      <c r="CX25" s="190">
        <f t="shared" si="55"/>
        <v>0</v>
      </c>
      <c r="CZ25" s="1">
        <v>2</v>
      </c>
      <c r="DA25" s="167">
        <f t="shared" si="50"/>
        <v>1.7</v>
      </c>
      <c r="DB25" s="1">
        <f>Alcantarillas!AX30</f>
        <v>9.4499999999999993</v>
      </c>
      <c r="DC25" s="5">
        <f t="shared" si="51"/>
        <v>32.129999999999995</v>
      </c>
      <c r="DE25" s="172">
        <f t="shared" si="52"/>
        <v>0</v>
      </c>
      <c r="DF25" s="172">
        <f t="shared" si="53"/>
        <v>0</v>
      </c>
    </row>
    <row r="26" spans="3:110" x14ac:dyDescent="0.25">
      <c r="G26" t="s">
        <v>361</v>
      </c>
      <c r="N26">
        <v>21</v>
      </c>
      <c r="O26" s="24">
        <f>Alcantarillas!E31</f>
        <v>6057</v>
      </c>
      <c r="P26" s="160">
        <f>IF(Alcantarillas!J31=1.2,1,0)</f>
        <v>1</v>
      </c>
      <c r="Q26" s="160">
        <f>IF(Alcantarillas!J31=1.3,1,0)</f>
        <v>0</v>
      </c>
      <c r="R26" s="160">
        <f>IF(Alcantarillas!J31=1.4,1,0)</f>
        <v>0</v>
      </c>
      <c r="S26" s="160">
        <f>IF(Alcantarillas!L31=1.2,1,0)</f>
        <v>0</v>
      </c>
      <c r="T26" s="160">
        <f>IF(Alcantarillas!L31=1.5,1,0)</f>
        <v>0</v>
      </c>
      <c r="V26" s="160">
        <f>IF(Alcantarillas!J31=1.2,Alcantarillas!AX31,0)</f>
        <v>8.9</v>
      </c>
      <c r="W26" s="160">
        <f>IF(Alcantarillas!J31=1.3,Alcantarillas!AX31,0)</f>
        <v>0</v>
      </c>
      <c r="X26" s="160">
        <f>IF(Alcantarillas!J31=1.4,Alcantarillas!AX31,0)</f>
        <v>0</v>
      </c>
      <c r="Y26" s="160">
        <f>IF(Alcantarillas!L31=1.2,Alcantarillas!AX31,0)</f>
        <v>0</v>
      </c>
      <c r="Z26" s="160">
        <f>IF(Alcantarillas!L31=1.5,Alcantarillas!AX31,0)</f>
        <v>0</v>
      </c>
      <c r="AB26" s="21">
        <v>1.8</v>
      </c>
      <c r="AC26" s="5">
        <f t="shared" si="16"/>
        <v>2.2000000000000002</v>
      </c>
      <c r="AD26" s="21">
        <v>0.2</v>
      </c>
      <c r="AE26" s="5">
        <f t="shared" si="17"/>
        <v>1.1309733552923256</v>
      </c>
      <c r="AF26" s="5">
        <f t="shared" si="18"/>
        <v>0.5658053289415349</v>
      </c>
      <c r="AG26" s="21">
        <v>2.12</v>
      </c>
      <c r="AH26" s="5">
        <f t="shared" si="19"/>
        <v>2.3178666666666672</v>
      </c>
      <c r="AI26" s="5">
        <f t="shared" si="20"/>
        <v>0.46357333333333345</v>
      </c>
      <c r="AJ26" s="5">
        <f t="shared" si="21"/>
        <v>5.2</v>
      </c>
      <c r="AK26" s="5">
        <f t="shared" si="22"/>
        <v>5.5500000000000007</v>
      </c>
      <c r="AL26" s="5">
        <f t="shared" si="23"/>
        <v>1.1100000000000001</v>
      </c>
      <c r="AM26" s="5">
        <f t="shared" si="24"/>
        <v>2.1393786622748685</v>
      </c>
      <c r="AO26" s="21">
        <v>1.9</v>
      </c>
      <c r="AP26" s="5">
        <f t="shared" si="25"/>
        <v>2.2000000000000002</v>
      </c>
      <c r="AQ26" s="21">
        <v>0.2</v>
      </c>
      <c r="AR26" s="5">
        <f t="shared" si="26"/>
        <v>1.1309733552923256</v>
      </c>
      <c r="AS26" s="5">
        <f t="shared" si="27"/>
        <v>0.60980532894153494</v>
      </c>
      <c r="AT26" s="21">
        <v>2.12</v>
      </c>
      <c r="AU26" s="5">
        <f t="shared" si="28"/>
        <v>2.529866666666666</v>
      </c>
      <c r="AV26" s="5">
        <f t="shared" si="29"/>
        <v>0.50597333333333327</v>
      </c>
      <c r="AW26" s="5">
        <f t="shared" si="30"/>
        <v>5.2</v>
      </c>
      <c r="AX26" s="5">
        <f t="shared" si="31"/>
        <v>5.5500000000000007</v>
      </c>
      <c r="AY26" s="5">
        <f t="shared" si="32"/>
        <v>1.1100000000000001</v>
      </c>
      <c r="AZ26" s="5">
        <f t="shared" si="33"/>
        <v>2.2257786622748683</v>
      </c>
      <c r="BB26" s="163">
        <v>13</v>
      </c>
      <c r="BC26" s="118">
        <f t="shared" si="58"/>
        <v>19.5</v>
      </c>
      <c r="BD26" s="118">
        <f t="shared" si="57"/>
        <v>140.4</v>
      </c>
      <c r="BE26" s="118">
        <v>15.7</v>
      </c>
      <c r="BF26" s="118">
        <f t="shared" si="59"/>
        <v>113.03999999999999</v>
      </c>
      <c r="BG26" s="183"/>
      <c r="BH26" s="163"/>
      <c r="BI26" s="167"/>
      <c r="BJ26" s="167"/>
      <c r="BK26" s="167"/>
      <c r="BL26" s="167"/>
      <c r="BN26" s="5">
        <f t="shared" si="0"/>
        <v>4.3651573245497364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163">
        <f t="shared" si="5"/>
        <v>1</v>
      </c>
      <c r="BT26" s="163">
        <f t="shared" si="6"/>
        <v>0</v>
      </c>
      <c r="BU26" s="163">
        <f t="shared" si="7"/>
        <v>0</v>
      </c>
      <c r="BV26" s="163">
        <f t="shared" si="8"/>
        <v>0</v>
      </c>
      <c r="BW26" s="163">
        <f t="shared" si="9"/>
        <v>0</v>
      </c>
      <c r="BX26" s="163">
        <f t="shared" si="10"/>
        <v>1</v>
      </c>
      <c r="BY26" s="163">
        <f t="shared" si="11"/>
        <v>0</v>
      </c>
      <c r="BZ26" s="163">
        <f t="shared" si="12"/>
        <v>0</v>
      </c>
      <c r="CA26" s="163">
        <f t="shared" si="13"/>
        <v>0</v>
      </c>
      <c r="CB26" s="163">
        <f t="shared" si="14"/>
        <v>0</v>
      </c>
      <c r="CC26" s="163">
        <f t="shared" si="34"/>
        <v>2</v>
      </c>
      <c r="CD26" s="163">
        <f t="shared" si="35"/>
        <v>0</v>
      </c>
      <c r="CE26" s="163">
        <f t="shared" si="36"/>
        <v>0</v>
      </c>
      <c r="CF26" s="163">
        <f t="shared" si="37"/>
        <v>0</v>
      </c>
      <c r="CG26" s="163">
        <f t="shared" si="38"/>
        <v>0</v>
      </c>
      <c r="CI26" s="167"/>
      <c r="CJ26" s="167"/>
      <c r="CK26" s="5"/>
      <c r="CL26" s="5"/>
      <c r="CM26" s="5" t="str">
        <f t="shared" si="40"/>
        <v/>
      </c>
      <c r="CN26" s="5" t="str">
        <f t="shared" si="41"/>
        <v/>
      </c>
      <c r="CO26" s="5" t="str">
        <f t="shared" si="42"/>
        <v/>
      </c>
      <c r="CP26" s="5" t="str">
        <f t="shared" si="54"/>
        <v/>
      </c>
      <c r="CQ26" s="5" t="str">
        <f t="shared" si="43"/>
        <v/>
      </c>
      <c r="CR26" s="5" t="str">
        <f t="shared" si="44"/>
        <v/>
      </c>
      <c r="CS26" s="5" t="str">
        <f t="shared" si="45"/>
        <v/>
      </c>
      <c r="CT26" s="50">
        <f t="shared" si="46"/>
        <v>0</v>
      </c>
      <c r="CU26" s="50">
        <f t="shared" si="47"/>
        <v>0</v>
      </c>
      <c r="CV26" s="50">
        <f t="shared" si="48"/>
        <v>0</v>
      </c>
      <c r="CW26" s="50">
        <f t="shared" si="49"/>
        <v>0</v>
      </c>
      <c r="CX26" s="190">
        <f t="shared" si="55"/>
        <v>0</v>
      </c>
      <c r="CZ26" s="1">
        <v>1.95</v>
      </c>
      <c r="DA26" s="167">
        <f t="shared" si="50"/>
        <v>1.7</v>
      </c>
      <c r="DB26" s="1">
        <f>Alcantarillas!AX31</f>
        <v>8.9</v>
      </c>
      <c r="DC26" s="5">
        <f t="shared" si="51"/>
        <v>29.503499999999999</v>
      </c>
      <c r="DE26" s="172">
        <f t="shared" si="52"/>
        <v>507</v>
      </c>
      <c r="DF26" s="172">
        <f t="shared" si="53"/>
        <v>0</v>
      </c>
    </row>
    <row r="27" spans="3:110" x14ac:dyDescent="0.25">
      <c r="N27">
        <v>22</v>
      </c>
      <c r="O27" s="24">
        <f>Alcantarillas!E32</f>
        <v>6360</v>
      </c>
      <c r="P27" s="160">
        <f>IF(Alcantarillas!J32=1.2,1,0)</f>
        <v>1</v>
      </c>
      <c r="Q27" s="160">
        <f>IF(Alcantarillas!J32=1.3,1,0)</f>
        <v>0</v>
      </c>
      <c r="R27" s="160">
        <f>IF(Alcantarillas!J32=1.4,1,0)</f>
        <v>0</v>
      </c>
      <c r="S27" s="160">
        <f>IF(Alcantarillas!L32=1.2,1,0)</f>
        <v>0</v>
      </c>
      <c r="T27" s="160">
        <f>IF(Alcantarillas!L32=1.5,1,0)</f>
        <v>0</v>
      </c>
      <c r="V27" s="160">
        <f>IF(Alcantarillas!J32=1.2,Alcantarillas!AX32,0)</f>
        <v>9.9499999999999993</v>
      </c>
      <c r="W27" s="160">
        <f>IF(Alcantarillas!J32=1.3,Alcantarillas!AX32,0)</f>
        <v>0</v>
      </c>
      <c r="X27" s="160">
        <f>IF(Alcantarillas!J32=1.4,Alcantarillas!AX32,0)</f>
        <v>0</v>
      </c>
      <c r="Y27" s="160">
        <f>IF(Alcantarillas!L32=1.2,Alcantarillas!AX32,0)</f>
        <v>0</v>
      </c>
      <c r="Z27" s="160">
        <f>IF(Alcantarillas!L32=1.5,Alcantarillas!AX32,0)</f>
        <v>0</v>
      </c>
      <c r="AB27" s="21"/>
      <c r="AC27" s="5">
        <f t="shared" si="16"/>
        <v>2.2000000000000002</v>
      </c>
      <c r="AD27" s="21"/>
      <c r="AE27" s="5">
        <f t="shared" si="17"/>
        <v>1.1309733552923256</v>
      </c>
      <c r="AF27" s="5">
        <f t="shared" si="18"/>
        <v>0</v>
      </c>
      <c r="AG27" s="21"/>
      <c r="AH27" s="5">
        <f t="shared" si="19"/>
        <v>0</v>
      </c>
      <c r="AI27" s="5">
        <f t="shared" si="20"/>
        <v>0</v>
      </c>
      <c r="AJ27" s="5">
        <f t="shared" si="21"/>
        <v>5.2</v>
      </c>
      <c r="AK27" s="5">
        <f t="shared" si="22"/>
        <v>5.5500000000000007</v>
      </c>
      <c r="AL27" s="5">
        <f t="shared" si="23"/>
        <v>0</v>
      </c>
      <c r="AM27" s="5">
        <f t="shared" si="24"/>
        <v>0</v>
      </c>
      <c r="AO27" s="21">
        <v>2.2000000000000002</v>
      </c>
      <c r="AP27" s="5">
        <f t="shared" si="25"/>
        <v>2.2000000000000002</v>
      </c>
      <c r="AQ27" s="21">
        <v>0.2</v>
      </c>
      <c r="AR27" s="5">
        <f t="shared" si="26"/>
        <v>1.1309733552923256</v>
      </c>
      <c r="AS27" s="5">
        <f t="shared" si="27"/>
        <v>0.74180532894153517</v>
      </c>
      <c r="AT27" s="21">
        <v>2.12</v>
      </c>
      <c r="AU27" s="5">
        <f t="shared" si="28"/>
        <v>3.1658666666666671</v>
      </c>
      <c r="AV27" s="5">
        <f t="shared" si="29"/>
        <v>0.63317333333333348</v>
      </c>
      <c r="AW27" s="5">
        <f t="shared" si="30"/>
        <v>5.2</v>
      </c>
      <c r="AX27" s="5">
        <f t="shared" si="31"/>
        <v>5.5500000000000007</v>
      </c>
      <c r="AY27" s="5">
        <f t="shared" si="32"/>
        <v>1.1100000000000001</v>
      </c>
      <c r="AZ27" s="5">
        <f t="shared" si="33"/>
        <v>2.4849786622748686</v>
      </c>
      <c r="BB27" s="163"/>
      <c r="BC27" s="118"/>
      <c r="BD27" s="118"/>
      <c r="BE27" s="118"/>
      <c r="BF27" s="118"/>
      <c r="BG27" s="183"/>
      <c r="BH27" s="163"/>
      <c r="BI27" s="167"/>
      <c r="BJ27" s="167"/>
      <c r="BK27" s="167"/>
      <c r="BL27" s="167"/>
      <c r="BN27" s="5">
        <f t="shared" si="0"/>
        <v>2.4849786622748686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163">
        <f t="shared" si="5"/>
        <v>0</v>
      </c>
      <c r="BT27" s="163">
        <f t="shared" si="6"/>
        <v>0</v>
      </c>
      <c r="BU27" s="163">
        <f t="shared" si="7"/>
        <v>0</v>
      </c>
      <c r="BV27" s="163">
        <f t="shared" si="8"/>
        <v>0</v>
      </c>
      <c r="BW27" s="163">
        <f t="shared" si="9"/>
        <v>0</v>
      </c>
      <c r="BX27" s="163">
        <f t="shared" si="10"/>
        <v>1</v>
      </c>
      <c r="BY27" s="163">
        <f t="shared" si="11"/>
        <v>0</v>
      </c>
      <c r="BZ27" s="163">
        <f t="shared" si="12"/>
        <v>0</v>
      </c>
      <c r="CA27" s="163">
        <f t="shared" si="13"/>
        <v>0</v>
      </c>
      <c r="CB27" s="163">
        <f t="shared" si="14"/>
        <v>0</v>
      </c>
      <c r="CC27" s="163">
        <f t="shared" si="34"/>
        <v>1</v>
      </c>
      <c r="CD27" s="163">
        <f t="shared" si="35"/>
        <v>0</v>
      </c>
      <c r="CE27" s="163">
        <f t="shared" si="36"/>
        <v>0</v>
      </c>
      <c r="CF27" s="163">
        <f t="shared" si="37"/>
        <v>0</v>
      </c>
      <c r="CG27" s="163">
        <f t="shared" si="38"/>
        <v>0</v>
      </c>
      <c r="CI27" s="167">
        <v>2.0499999999999998</v>
      </c>
      <c r="CJ27" s="167">
        <v>4.7</v>
      </c>
      <c r="CK27" s="5">
        <f t="shared" si="56"/>
        <v>7.4250000000000007</v>
      </c>
      <c r="CL27" s="5">
        <f t="shared" si="39"/>
        <v>1.7</v>
      </c>
      <c r="CM27" s="5" t="str">
        <f t="shared" si="40"/>
        <v/>
      </c>
      <c r="CN27" s="5" t="str">
        <f t="shared" si="41"/>
        <v/>
      </c>
      <c r="CO27" s="5" t="str">
        <f t="shared" si="42"/>
        <v/>
      </c>
      <c r="CP27" s="5">
        <f t="shared" si="54"/>
        <v>1.9762499999999998</v>
      </c>
      <c r="CQ27" s="5" t="str">
        <f t="shared" si="43"/>
        <v/>
      </c>
      <c r="CR27" s="5" t="str">
        <f t="shared" si="44"/>
        <v/>
      </c>
      <c r="CS27" s="5" t="str">
        <f t="shared" si="45"/>
        <v/>
      </c>
      <c r="CT27" s="50">
        <f t="shared" si="46"/>
        <v>1</v>
      </c>
      <c r="CU27" s="50">
        <f t="shared" si="47"/>
        <v>0</v>
      </c>
      <c r="CV27" s="50">
        <f t="shared" si="48"/>
        <v>0</v>
      </c>
      <c r="CW27" s="50">
        <f t="shared" si="49"/>
        <v>0</v>
      </c>
      <c r="CX27" s="190">
        <f t="shared" si="55"/>
        <v>1</v>
      </c>
      <c r="CZ27" s="1">
        <v>1.95</v>
      </c>
      <c r="DA27" s="167">
        <f t="shared" si="50"/>
        <v>1.7</v>
      </c>
      <c r="DB27" s="1">
        <f>Alcantarillas!AX32</f>
        <v>9.9499999999999993</v>
      </c>
      <c r="DC27" s="5">
        <f t="shared" si="51"/>
        <v>32.984249999999996</v>
      </c>
      <c r="DE27" s="172">
        <f t="shared" si="52"/>
        <v>0</v>
      </c>
      <c r="DF27" s="172">
        <f t="shared" si="53"/>
        <v>0</v>
      </c>
    </row>
    <row r="28" spans="3:110" x14ac:dyDescent="0.25">
      <c r="N28">
        <v>23</v>
      </c>
      <c r="O28" s="24">
        <f>Alcantarillas!E33</f>
        <v>6623.4</v>
      </c>
      <c r="P28" s="160">
        <f>IF(Alcantarillas!J33=1.2,1,0)</f>
        <v>1</v>
      </c>
      <c r="Q28" s="160">
        <f>IF(Alcantarillas!J33=1.3,1,0)</f>
        <v>0</v>
      </c>
      <c r="R28" s="160">
        <f>IF(Alcantarillas!J33=1.4,1,0)</f>
        <v>0</v>
      </c>
      <c r="S28" s="160">
        <f>IF(Alcantarillas!L33=1.2,1,0)</f>
        <v>0</v>
      </c>
      <c r="T28" s="160">
        <f>IF(Alcantarillas!L33=1.5,1,0)</f>
        <v>0</v>
      </c>
      <c r="V28" s="160">
        <f>IF(Alcantarillas!J33=1.2,Alcantarillas!AX33,0)</f>
        <v>18.100000000000001</v>
      </c>
      <c r="W28" s="160">
        <f>IF(Alcantarillas!J33=1.3,Alcantarillas!AX33,0)</f>
        <v>0</v>
      </c>
      <c r="X28" s="160">
        <f>IF(Alcantarillas!J33=1.4,Alcantarillas!AX33,0)</f>
        <v>0</v>
      </c>
      <c r="Y28" s="160">
        <f>IF(Alcantarillas!L33=1.2,Alcantarillas!AX33,0)</f>
        <v>0</v>
      </c>
      <c r="Z28" s="160">
        <f>IF(Alcantarillas!L33=1.5,Alcantarillas!AX33,0)</f>
        <v>0</v>
      </c>
      <c r="AB28" s="21">
        <v>2.2999999999999998</v>
      </c>
      <c r="AC28" s="5">
        <f t="shared" si="16"/>
        <v>2.2000000000000002</v>
      </c>
      <c r="AD28" s="21">
        <v>0.2</v>
      </c>
      <c r="AE28" s="5">
        <f t="shared" si="17"/>
        <v>1.1309733552923256</v>
      </c>
      <c r="AF28" s="5">
        <f t="shared" si="18"/>
        <v>0.78580532894153488</v>
      </c>
      <c r="AG28" s="21">
        <v>2.12</v>
      </c>
      <c r="AH28" s="5">
        <f t="shared" si="19"/>
        <v>3.3778666666666659</v>
      </c>
      <c r="AI28" s="5">
        <f t="shared" si="20"/>
        <v>0.67557333333333325</v>
      </c>
      <c r="AJ28" s="5">
        <f t="shared" si="21"/>
        <v>5.2</v>
      </c>
      <c r="AK28" s="5">
        <f t="shared" si="22"/>
        <v>5.5500000000000007</v>
      </c>
      <c r="AL28" s="5">
        <f t="shared" si="23"/>
        <v>1.1100000000000001</v>
      </c>
      <c r="AM28" s="5">
        <f t="shared" si="24"/>
        <v>2.571378662274868</v>
      </c>
      <c r="AO28" s="21">
        <v>1.65</v>
      </c>
      <c r="AP28" s="5">
        <f t="shared" si="25"/>
        <v>2.2000000000000002</v>
      </c>
      <c r="AQ28" s="21">
        <v>0.2</v>
      </c>
      <c r="AR28" s="5">
        <f t="shared" si="26"/>
        <v>1.1309733552923256</v>
      </c>
      <c r="AS28" s="5">
        <f t="shared" si="27"/>
        <v>0.49980532894153495</v>
      </c>
      <c r="AT28" s="21">
        <v>2.12</v>
      </c>
      <c r="AU28" s="5">
        <f t="shared" si="28"/>
        <v>1.9998666666666665</v>
      </c>
      <c r="AV28" s="5">
        <f t="shared" si="29"/>
        <v>0.39997333333333329</v>
      </c>
      <c r="AW28" s="5">
        <f t="shared" si="30"/>
        <v>5.2</v>
      </c>
      <c r="AX28" s="5">
        <f t="shared" si="31"/>
        <v>5.5500000000000007</v>
      </c>
      <c r="AY28" s="5">
        <f t="shared" si="32"/>
        <v>1.1100000000000001</v>
      </c>
      <c r="AZ28" s="5">
        <f t="shared" si="33"/>
        <v>2.0097786622748686</v>
      </c>
      <c r="BB28" s="163"/>
      <c r="BC28" s="118"/>
      <c r="BD28" s="118"/>
      <c r="BE28" s="118"/>
      <c r="BF28" s="118"/>
      <c r="BG28" s="183"/>
      <c r="BH28" s="163"/>
      <c r="BI28" s="167"/>
      <c r="BJ28" s="167"/>
      <c r="BK28" s="167"/>
      <c r="BL28" s="167"/>
      <c r="BN28" s="5">
        <f t="shared" si="0"/>
        <v>4.5811573245497366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163">
        <f t="shared" si="5"/>
        <v>1</v>
      </c>
      <c r="BT28" s="163">
        <f t="shared" si="6"/>
        <v>0</v>
      </c>
      <c r="BU28" s="163">
        <f t="shared" si="7"/>
        <v>0</v>
      </c>
      <c r="BV28" s="163">
        <f t="shared" si="8"/>
        <v>0</v>
      </c>
      <c r="BW28" s="163">
        <f t="shared" si="9"/>
        <v>0</v>
      </c>
      <c r="BX28" s="163">
        <f t="shared" si="10"/>
        <v>1</v>
      </c>
      <c r="BY28" s="163">
        <f t="shared" si="11"/>
        <v>0</v>
      </c>
      <c r="BZ28" s="163">
        <f t="shared" si="12"/>
        <v>0</v>
      </c>
      <c r="CA28" s="163">
        <f t="shared" si="13"/>
        <v>0</v>
      </c>
      <c r="CB28" s="163">
        <f t="shared" si="14"/>
        <v>0</v>
      </c>
      <c r="CC28" s="163">
        <f t="shared" si="34"/>
        <v>2</v>
      </c>
      <c r="CD28" s="163">
        <f t="shared" si="35"/>
        <v>0</v>
      </c>
      <c r="CE28" s="163">
        <f t="shared" si="36"/>
        <v>0</v>
      </c>
      <c r="CF28" s="163">
        <f t="shared" si="37"/>
        <v>0</v>
      </c>
      <c r="CG28" s="163">
        <f t="shared" si="38"/>
        <v>0</v>
      </c>
      <c r="CI28" s="167"/>
      <c r="CJ28" s="167"/>
      <c r="CK28" s="5"/>
      <c r="CL28" s="5"/>
      <c r="CM28" s="5" t="str">
        <f t="shared" si="40"/>
        <v/>
      </c>
      <c r="CN28" s="5" t="str">
        <f t="shared" si="41"/>
        <v/>
      </c>
      <c r="CO28" s="5" t="str">
        <f t="shared" si="42"/>
        <v/>
      </c>
      <c r="CP28" s="5" t="str">
        <f t="shared" si="54"/>
        <v/>
      </c>
      <c r="CQ28" s="5" t="str">
        <f t="shared" si="43"/>
        <v/>
      </c>
      <c r="CR28" s="5" t="str">
        <f t="shared" si="44"/>
        <v/>
      </c>
      <c r="CS28" s="5" t="str">
        <f t="shared" si="45"/>
        <v/>
      </c>
      <c r="CT28" s="50">
        <f t="shared" si="46"/>
        <v>0</v>
      </c>
      <c r="CU28" s="50">
        <f t="shared" si="47"/>
        <v>0</v>
      </c>
      <c r="CV28" s="50">
        <f t="shared" si="48"/>
        <v>0</v>
      </c>
      <c r="CW28" s="50">
        <f t="shared" si="49"/>
        <v>0</v>
      </c>
      <c r="CX28" s="190">
        <f t="shared" si="55"/>
        <v>0</v>
      </c>
      <c r="CZ28" s="1">
        <v>2</v>
      </c>
      <c r="DA28" s="167">
        <f t="shared" si="50"/>
        <v>1.7</v>
      </c>
      <c r="DB28" s="1">
        <f>Alcantarillas!AX33</f>
        <v>18.100000000000001</v>
      </c>
      <c r="DC28" s="5">
        <f t="shared" si="51"/>
        <v>61.540000000000006</v>
      </c>
      <c r="DE28" s="172">
        <f t="shared" si="52"/>
        <v>0</v>
      </c>
      <c r="DF28" s="172">
        <f t="shared" si="53"/>
        <v>0</v>
      </c>
    </row>
    <row r="29" spans="3:110" x14ac:dyDescent="0.25">
      <c r="J29" s="19"/>
      <c r="N29">
        <v>24</v>
      </c>
      <c r="O29" s="24">
        <f>Alcantarillas!E34</f>
        <v>6794</v>
      </c>
      <c r="P29" s="160">
        <f>IF(Alcantarillas!J34=1.2,1,0)</f>
        <v>1</v>
      </c>
      <c r="Q29" s="160">
        <f>IF(Alcantarillas!J34=1.3,1,0)</f>
        <v>0</v>
      </c>
      <c r="R29" s="160">
        <f>IF(Alcantarillas!J34=1.4,1,0)</f>
        <v>0</v>
      </c>
      <c r="S29" s="160">
        <f>IF(Alcantarillas!L34=1.2,1,0)</f>
        <v>0</v>
      </c>
      <c r="T29" s="160">
        <f>IF(Alcantarillas!L34=1.5,1,0)</f>
        <v>0</v>
      </c>
      <c r="V29" s="160">
        <f>IF(Alcantarillas!J34=1.2,Alcantarillas!AX34,0)</f>
        <v>10.25</v>
      </c>
      <c r="W29" s="160">
        <f>IF(Alcantarillas!J34=1.3,Alcantarillas!AX34,0)</f>
        <v>0</v>
      </c>
      <c r="X29" s="160">
        <f>IF(Alcantarillas!J34=1.4,Alcantarillas!AX34,0)</f>
        <v>0</v>
      </c>
      <c r="Y29" s="160">
        <f>IF(Alcantarillas!L34=1.2,Alcantarillas!AX34,0)</f>
        <v>0</v>
      </c>
      <c r="Z29" s="160">
        <f>IF(Alcantarillas!L34=1.5,Alcantarillas!AX34,0)</f>
        <v>0</v>
      </c>
      <c r="AB29" s="21"/>
      <c r="AC29" s="5">
        <f t="shared" si="16"/>
        <v>2.2000000000000002</v>
      </c>
      <c r="AD29" s="21"/>
      <c r="AE29" s="5">
        <f t="shared" si="17"/>
        <v>1.1309733552923256</v>
      </c>
      <c r="AF29" s="5">
        <f t="shared" si="18"/>
        <v>0</v>
      </c>
      <c r="AG29" s="21"/>
      <c r="AH29" s="5">
        <f t="shared" si="19"/>
        <v>0</v>
      </c>
      <c r="AI29" s="5">
        <f t="shared" si="20"/>
        <v>0</v>
      </c>
      <c r="AJ29" s="5">
        <f t="shared" si="21"/>
        <v>5.2</v>
      </c>
      <c r="AK29" s="5">
        <f t="shared" si="22"/>
        <v>5.5500000000000007</v>
      </c>
      <c r="AL29" s="5">
        <f t="shared" si="23"/>
        <v>0</v>
      </c>
      <c r="AM29" s="5">
        <f t="shared" si="24"/>
        <v>0</v>
      </c>
      <c r="AO29" s="21">
        <v>2</v>
      </c>
      <c r="AP29" s="5">
        <f t="shared" si="25"/>
        <v>2.2000000000000002</v>
      </c>
      <c r="AQ29" s="21">
        <v>0.2</v>
      </c>
      <c r="AR29" s="5">
        <f t="shared" si="26"/>
        <v>1.1309733552923256</v>
      </c>
      <c r="AS29" s="5">
        <f t="shared" ref="AS29:AS56" si="60">((AO30*AP29)-AR29)*AQ29</f>
        <v>0.65380532894153509</v>
      </c>
      <c r="AT29" s="21">
        <v>2.12</v>
      </c>
      <c r="AU29" s="5">
        <f t="shared" si="28"/>
        <v>2.7418666666666667</v>
      </c>
      <c r="AV29" s="5">
        <f t="shared" si="29"/>
        <v>0.54837333333333338</v>
      </c>
      <c r="AW29" s="5">
        <f t="shared" si="30"/>
        <v>5.2</v>
      </c>
      <c r="AX29" s="5">
        <f t="shared" si="31"/>
        <v>5.5500000000000007</v>
      </c>
      <c r="AY29" s="5">
        <f t="shared" si="32"/>
        <v>1.1100000000000001</v>
      </c>
      <c r="AZ29" s="5">
        <f t="shared" si="33"/>
        <v>2.3121786622748686</v>
      </c>
      <c r="BB29" s="163"/>
      <c r="BC29" s="118"/>
      <c r="BD29" s="118"/>
      <c r="BE29" s="118"/>
      <c r="BF29" s="118"/>
      <c r="BG29" s="183"/>
      <c r="BH29" s="163"/>
      <c r="BI29" s="167"/>
      <c r="BJ29" s="167"/>
      <c r="BK29" s="167"/>
      <c r="BL29" s="167"/>
      <c r="BN29" s="5">
        <f t="shared" si="0"/>
        <v>2.3121786622748686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163">
        <f t="shared" si="5"/>
        <v>0</v>
      </c>
      <c r="BT29" s="163">
        <f t="shared" si="6"/>
        <v>0</v>
      </c>
      <c r="BU29" s="163">
        <f t="shared" si="7"/>
        <v>0</v>
      </c>
      <c r="BV29" s="163">
        <f t="shared" si="8"/>
        <v>0</v>
      </c>
      <c r="BW29" s="163">
        <f t="shared" si="9"/>
        <v>0</v>
      </c>
      <c r="BX29" s="163">
        <f t="shared" si="10"/>
        <v>1</v>
      </c>
      <c r="BY29" s="163">
        <f t="shared" si="11"/>
        <v>0</v>
      </c>
      <c r="BZ29" s="163">
        <f t="shared" si="12"/>
        <v>0</v>
      </c>
      <c r="CA29" s="163">
        <f t="shared" si="13"/>
        <v>0</v>
      </c>
      <c r="CB29" s="163">
        <f t="shared" si="14"/>
        <v>0</v>
      </c>
      <c r="CC29" s="163">
        <f t="shared" si="34"/>
        <v>1</v>
      </c>
      <c r="CD29" s="163">
        <f t="shared" si="35"/>
        <v>0</v>
      </c>
      <c r="CE29" s="163">
        <f t="shared" si="36"/>
        <v>0</v>
      </c>
      <c r="CF29" s="163">
        <f t="shared" si="37"/>
        <v>0</v>
      </c>
      <c r="CG29" s="163">
        <f t="shared" si="38"/>
        <v>0</v>
      </c>
      <c r="CI29" s="167">
        <v>4.2</v>
      </c>
      <c r="CJ29" s="167">
        <v>2.1</v>
      </c>
      <c r="CK29" s="5">
        <f t="shared" si="56"/>
        <v>6.9300000000000015</v>
      </c>
      <c r="CL29" s="5">
        <f t="shared" si="39"/>
        <v>1.7</v>
      </c>
      <c r="CM29" s="5" t="str">
        <f t="shared" si="40"/>
        <v/>
      </c>
      <c r="CN29" s="5" t="str">
        <f t="shared" si="41"/>
        <v/>
      </c>
      <c r="CO29" s="5" t="str">
        <f t="shared" si="42"/>
        <v/>
      </c>
      <c r="CP29" s="5">
        <f t="shared" si="54"/>
        <v>1.8614999999999997</v>
      </c>
      <c r="CQ29" s="5" t="str">
        <f t="shared" si="43"/>
        <v/>
      </c>
      <c r="CR29" s="5" t="str">
        <f t="shared" si="44"/>
        <v/>
      </c>
      <c r="CS29" s="5" t="str">
        <f t="shared" si="45"/>
        <v/>
      </c>
      <c r="CT29" s="50">
        <f t="shared" si="46"/>
        <v>1</v>
      </c>
      <c r="CU29" s="50">
        <f t="shared" si="47"/>
        <v>0</v>
      </c>
      <c r="CV29" s="50">
        <f t="shared" si="48"/>
        <v>0</v>
      </c>
      <c r="CW29" s="50">
        <f t="shared" si="49"/>
        <v>0</v>
      </c>
      <c r="CX29" s="190">
        <f t="shared" si="55"/>
        <v>1</v>
      </c>
      <c r="CZ29" s="1">
        <v>2</v>
      </c>
      <c r="DA29" s="167">
        <f t="shared" si="50"/>
        <v>1.7</v>
      </c>
      <c r="DB29" s="1">
        <f>Alcantarillas!AX34</f>
        <v>10.25</v>
      </c>
      <c r="DC29" s="5">
        <f t="shared" si="51"/>
        <v>34.85</v>
      </c>
      <c r="DE29" s="172">
        <f t="shared" si="52"/>
        <v>0</v>
      </c>
      <c r="DF29" s="172">
        <f t="shared" si="53"/>
        <v>0</v>
      </c>
    </row>
    <row r="30" spans="3:110" x14ac:dyDescent="0.25">
      <c r="C30" s="19" t="s">
        <v>384</v>
      </c>
      <c r="N30">
        <v>25</v>
      </c>
      <c r="O30" s="24">
        <f>Alcantarillas!E35</f>
        <v>7225</v>
      </c>
      <c r="P30" s="160">
        <f>IF(Alcantarillas!J35=1.2,1,0)</f>
        <v>1</v>
      </c>
      <c r="Q30" s="160">
        <f>IF(Alcantarillas!J35=1.3,1,0)</f>
        <v>0</v>
      </c>
      <c r="R30" s="160">
        <f>IF(Alcantarillas!J35=1.4,1,0)</f>
        <v>0</v>
      </c>
      <c r="S30" s="160">
        <f>IF(Alcantarillas!L35=1.2,1,0)</f>
        <v>0</v>
      </c>
      <c r="T30" s="160">
        <f>IF(Alcantarillas!L35=1.5,1,0)</f>
        <v>0</v>
      </c>
      <c r="V30" s="160">
        <f>IF(Alcantarillas!J35=1.2,Alcantarillas!AX35,0)</f>
        <v>12.95</v>
      </c>
      <c r="W30" s="160">
        <f>IF(Alcantarillas!J35=1.3,Alcantarillas!AX35,0)</f>
        <v>0</v>
      </c>
      <c r="X30" s="160">
        <f>IF(Alcantarillas!J35=1.4,Alcantarillas!AX35,0)</f>
        <v>0</v>
      </c>
      <c r="Y30" s="160">
        <f>IF(Alcantarillas!L35=1.2,Alcantarillas!AX35,0)</f>
        <v>0</v>
      </c>
      <c r="Z30" s="160">
        <f>IF(Alcantarillas!L35=1.5,Alcantarillas!AX35,0)</f>
        <v>0</v>
      </c>
      <c r="AB30" s="21"/>
      <c r="AC30" s="5">
        <f t="shared" si="16"/>
        <v>2.2000000000000002</v>
      </c>
      <c r="AD30" s="21"/>
      <c r="AE30" s="5">
        <f t="shared" si="17"/>
        <v>1.1309733552923256</v>
      </c>
      <c r="AF30" s="5">
        <f t="shared" ref="AF30:AF56" si="61">((AB31*AC30)-AE30)*AD30</f>
        <v>0</v>
      </c>
      <c r="AG30" s="21"/>
      <c r="AH30" s="5">
        <f t="shared" si="19"/>
        <v>0</v>
      </c>
      <c r="AI30" s="5">
        <f t="shared" si="20"/>
        <v>0</v>
      </c>
      <c r="AJ30" s="5">
        <f t="shared" si="21"/>
        <v>5.2</v>
      </c>
      <c r="AK30" s="5">
        <f t="shared" si="22"/>
        <v>5.5500000000000007</v>
      </c>
      <c r="AL30" s="5">
        <f t="shared" si="23"/>
        <v>0</v>
      </c>
      <c r="AM30" s="5">
        <f t="shared" si="24"/>
        <v>0</v>
      </c>
      <c r="AO30" s="21">
        <v>2</v>
      </c>
      <c r="AP30" s="5">
        <f t="shared" si="25"/>
        <v>2.2000000000000002</v>
      </c>
      <c r="AQ30" s="21">
        <v>0.2</v>
      </c>
      <c r="AR30" s="5">
        <f t="shared" si="26"/>
        <v>1.1309733552923256</v>
      </c>
      <c r="AS30" s="5">
        <f t="shared" si="60"/>
        <v>0.5438053289415351</v>
      </c>
      <c r="AT30" s="21">
        <v>2.12</v>
      </c>
      <c r="AU30" s="5">
        <f t="shared" si="28"/>
        <v>2.7418666666666667</v>
      </c>
      <c r="AV30" s="5">
        <f t="shared" si="29"/>
        <v>0.54837333333333338</v>
      </c>
      <c r="AW30" s="5">
        <f t="shared" si="30"/>
        <v>5.2</v>
      </c>
      <c r="AX30" s="5">
        <f t="shared" si="31"/>
        <v>5.5500000000000007</v>
      </c>
      <c r="AY30" s="5">
        <f t="shared" si="32"/>
        <v>1.1100000000000001</v>
      </c>
      <c r="AZ30" s="5">
        <f t="shared" si="33"/>
        <v>2.2021786622748687</v>
      </c>
      <c r="BB30" s="163">
        <v>3</v>
      </c>
      <c r="BC30" s="118">
        <f t="shared" si="58"/>
        <v>4.5</v>
      </c>
      <c r="BD30" s="118">
        <f t="shared" si="57"/>
        <v>32.4</v>
      </c>
      <c r="BE30" s="118">
        <v>6.8</v>
      </c>
      <c r="BF30" s="118">
        <f t="shared" si="59"/>
        <v>48.96</v>
      </c>
      <c r="BG30" s="183"/>
      <c r="BH30" s="163"/>
      <c r="BI30" s="167"/>
      <c r="BJ30" s="167"/>
      <c r="BK30" s="167"/>
      <c r="BL30" s="167"/>
      <c r="BN30" s="5">
        <f t="shared" si="0"/>
        <v>2.2021786622748687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163">
        <f t="shared" si="5"/>
        <v>0</v>
      </c>
      <c r="BT30" s="163">
        <f t="shared" si="6"/>
        <v>0</v>
      </c>
      <c r="BU30" s="163">
        <f t="shared" si="7"/>
        <v>0</v>
      </c>
      <c r="BV30" s="163">
        <f t="shared" si="8"/>
        <v>0</v>
      </c>
      <c r="BW30" s="163">
        <f t="shared" si="9"/>
        <v>0</v>
      </c>
      <c r="BX30" s="163">
        <f t="shared" si="10"/>
        <v>1</v>
      </c>
      <c r="BY30" s="163">
        <f t="shared" si="11"/>
        <v>0</v>
      </c>
      <c r="BZ30" s="163">
        <f t="shared" si="12"/>
        <v>0</v>
      </c>
      <c r="CA30" s="163">
        <f t="shared" si="13"/>
        <v>0</v>
      </c>
      <c r="CB30" s="163">
        <f t="shared" si="14"/>
        <v>0</v>
      </c>
      <c r="CC30" s="163">
        <f t="shared" si="34"/>
        <v>1</v>
      </c>
      <c r="CD30" s="163">
        <f t="shared" si="35"/>
        <v>0</v>
      </c>
      <c r="CE30" s="163">
        <f t="shared" si="36"/>
        <v>0</v>
      </c>
      <c r="CF30" s="163">
        <f t="shared" si="37"/>
        <v>0</v>
      </c>
      <c r="CG30" s="163">
        <f t="shared" si="38"/>
        <v>0</v>
      </c>
      <c r="CI30" s="167">
        <v>1.7</v>
      </c>
      <c r="CJ30" s="167">
        <v>1.9</v>
      </c>
      <c r="CK30" s="5">
        <f t="shared" si="56"/>
        <v>3.96</v>
      </c>
      <c r="CL30" s="5">
        <f t="shared" si="39"/>
        <v>1.7</v>
      </c>
      <c r="CM30" s="5" t="str">
        <f t="shared" si="40"/>
        <v/>
      </c>
      <c r="CN30" s="5" t="str">
        <f t="shared" si="41"/>
        <v/>
      </c>
      <c r="CO30" s="5" t="str">
        <f t="shared" si="42"/>
        <v/>
      </c>
      <c r="CP30" s="5">
        <f t="shared" si="54"/>
        <v>1.1729999999999998</v>
      </c>
      <c r="CQ30" s="5" t="str">
        <f t="shared" si="43"/>
        <v/>
      </c>
      <c r="CR30" s="5" t="str">
        <f t="shared" si="44"/>
        <v/>
      </c>
      <c r="CS30" s="5" t="str">
        <f t="shared" si="45"/>
        <v/>
      </c>
      <c r="CT30" s="50">
        <f t="shared" si="46"/>
        <v>1</v>
      </c>
      <c r="CU30" s="50">
        <f t="shared" si="47"/>
        <v>0</v>
      </c>
      <c r="CV30" s="50">
        <f t="shared" si="48"/>
        <v>0</v>
      </c>
      <c r="CW30" s="50">
        <f t="shared" si="49"/>
        <v>0</v>
      </c>
      <c r="CX30" s="190">
        <f t="shared" si="55"/>
        <v>1</v>
      </c>
      <c r="CZ30" s="1">
        <v>2</v>
      </c>
      <c r="DA30" s="167">
        <f t="shared" si="50"/>
        <v>1.7</v>
      </c>
      <c r="DB30" s="1">
        <f>Alcantarillas!AX35</f>
        <v>12.95</v>
      </c>
      <c r="DC30" s="5">
        <f t="shared" si="51"/>
        <v>44.029999999999994</v>
      </c>
      <c r="DE30" s="172">
        <f t="shared" si="52"/>
        <v>117</v>
      </c>
      <c r="DF30" s="172">
        <f t="shared" si="53"/>
        <v>0</v>
      </c>
    </row>
    <row r="31" spans="3:110" x14ac:dyDescent="0.25">
      <c r="N31">
        <v>26</v>
      </c>
      <c r="O31" s="24">
        <f>Alcantarillas!E36</f>
        <v>7435</v>
      </c>
      <c r="P31" s="160">
        <f>IF(Alcantarillas!J36=1.2,1,0)</f>
        <v>1</v>
      </c>
      <c r="Q31" s="160">
        <f>IF(Alcantarillas!J36=1.3,1,0)</f>
        <v>0</v>
      </c>
      <c r="R31" s="160">
        <f>IF(Alcantarillas!J36=1.4,1,0)</f>
        <v>0</v>
      </c>
      <c r="S31" s="160">
        <f>IF(Alcantarillas!L36=1.2,1,0)</f>
        <v>0</v>
      </c>
      <c r="T31" s="160">
        <f>IF(Alcantarillas!L36=1.5,1,0)</f>
        <v>0</v>
      </c>
      <c r="V31" s="160">
        <f>IF(Alcantarillas!J36=1.2,Alcantarillas!AX36,0)</f>
        <v>9.9</v>
      </c>
      <c r="W31" s="160">
        <f>IF(Alcantarillas!J36=1.3,Alcantarillas!AX36,0)</f>
        <v>0</v>
      </c>
      <c r="X31" s="160">
        <f>IF(Alcantarillas!J36=1.4,Alcantarillas!AX36,0)</f>
        <v>0</v>
      </c>
      <c r="Y31" s="160">
        <f>IF(Alcantarillas!L36=1.2,Alcantarillas!AX36,0)</f>
        <v>0</v>
      </c>
      <c r="Z31" s="160">
        <f>IF(Alcantarillas!L36=1.5,Alcantarillas!AX36,0)</f>
        <v>0</v>
      </c>
      <c r="AB31" s="21">
        <v>1.9</v>
      </c>
      <c r="AC31" s="5">
        <f t="shared" si="16"/>
        <v>2.2000000000000002</v>
      </c>
      <c r="AD31" s="21">
        <v>0.2</v>
      </c>
      <c r="AE31" s="5">
        <f t="shared" si="17"/>
        <v>1.1309733552923256</v>
      </c>
      <c r="AF31" s="5">
        <f t="shared" si="61"/>
        <v>-0.22619467105846514</v>
      </c>
      <c r="AG31" s="21">
        <v>2.12</v>
      </c>
      <c r="AH31" s="5">
        <f t="shared" si="19"/>
        <v>2.529866666666666</v>
      </c>
      <c r="AI31" s="5">
        <f t="shared" si="20"/>
        <v>0.50597333333333327</v>
      </c>
      <c r="AJ31" s="5">
        <f t="shared" si="21"/>
        <v>5.2</v>
      </c>
      <c r="AK31" s="5">
        <f t="shared" si="22"/>
        <v>5.5500000000000007</v>
      </c>
      <c r="AL31" s="5">
        <f t="shared" si="23"/>
        <v>1.1100000000000001</v>
      </c>
      <c r="AM31" s="5">
        <f t="shared" si="24"/>
        <v>1.3897786622748682</v>
      </c>
      <c r="AO31" s="21">
        <v>1.75</v>
      </c>
      <c r="AP31" s="5">
        <f t="shared" si="25"/>
        <v>2.2000000000000002</v>
      </c>
      <c r="AQ31" s="21">
        <v>0.2</v>
      </c>
      <c r="AR31" s="5">
        <f t="shared" si="26"/>
        <v>1.1309733552923256</v>
      </c>
      <c r="AS31" s="5">
        <f t="shared" si="60"/>
        <v>0.4338053289415349</v>
      </c>
      <c r="AT31" s="21">
        <v>2.12</v>
      </c>
      <c r="AU31" s="5">
        <f t="shared" si="28"/>
        <v>2.2118666666666664</v>
      </c>
      <c r="AV31" s="5">
        <f t="shared" si="29"/>
        <v>0.44237333333333329</v>
      </c>
      <c r="AW31" s="5">
        <f t="shared" si="30"/>
        <v>5.2</v>
      </c>
      <c r="AX31" s="5">
        <f t="shared" si="31"/>
        <v>5.5500000000000007</v>
      </c>
      <c r="AY31" s="5">
        <f t="shared" si="32"/>
        <v>1.1100000000000001</v>
      </c>
      <c r="AZ31" s="5">
        <f t="shared" si="33"/>
        <v>1.9861786622748683</v>
      </c>
      <c r="BB31" s="163"/>
      <c r="BC31" s="118"/>
      <c r="BD31" s="118"/>
      <c r="BE31" s="118"/>
      <c r="BF31" s="118"/>
      <c r="BG31" s="183"/>
      <c r="BH31" s="163"/>
      <c r="BI31" s="167"/>
      <c r="BJ31" s="167"/>
      <c r="BK31" s="167"/>
      <c r="BL31" s="167"/>
      <c r="BN31" s="5">
        <f t="shared" si="0"/>
        <v>3.3759573245497365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163">
        <f t="shared" si="5"/>
        <v>1</v>
      </c>
      <c r="BT31" s="163">
        <f t="shared" si="6"/>
        <v>0</v>
      </c>
      <c r="BU31" s="163">
        <f t="shared" si="7"/>
        <v>0</v>
      </c>
      <c r="BV31" s="163">
        <f t="shared" si="8"/>
        <v>0</v>
      </c>
      <c r="BW31" s="163">
        <f t="shared" si="9"/>
        <v>0</v>
      </c>
      <c r="BX31" s="163">
        <f t="shared" si="10"/>
        <v>1</v>
      </c>
      <c r="BY31" s="163">
        <f t="shared" si="11"/>
        <v>0</v>
      </c>
      <c r="BZ31" s="163">
        <f t="shared" si="12"/>
        <v>0</v>
      </c>
      <c r="CA31" s="163">
        <f t="shared" si="13"/>
        <v>0</v>
      </c>
      <c r="CB31" s="163">
        <f t="shared" si="14"/>
        <v>0</v>
      </c>
      <c r="CC31" s="163">
        <f t="shared" si="34"/>
        <v>2</v>
      </c>
      <c r="CD31" s="163">
        <f t="shared" si="35"/>
        <v>0</v>
      </c>
      <c r="CE31" s="163">
        <f t="shared" si="36"/>
        <v>0</v>
      </c>
      <c r="CF31" s="163">
        <f t="shared" si="37"/>
        <v>0</v>
      </c>
      <c r="CG31" s="163">
        <f t="shared" si="38"/>
        <v>0</v>
      </c>
      <c r="CI31" s="167"/>
      <c r="CJ31" s="167"/>
      <c r="CK31" s="5"/>
      <c r="CL31" s="5"/>
      <c r="CM31" s="5" t="str">
        <f t="shared" si="40"/>
        <v/>
      </c>
      <c r="CN31" s="5" t="str">
        <f t="shared" si="41"/>
        <v/>
      </c>
      <c r="CO31" s="5" t="str">
        <f t="shared" si="42"/>
        <v/>
      </c>
      <c r="CP31" s="5" t="str">
        <f t="shared" si="54"/>
        <v/>
      </c>
      <c r="CQ31" s="5" t="str">
        <f t="shared" si="43"/>
        <v/>
      </c>
      <c r="CR31" s="5" t="str">
        <f t="shared" si="44"/>
        <v/>
      </c>
      <c r="CS31" s="5" t="str">
        <f t="shared" si="45"/>
        <v/>
      </c>
      <c r="CT31" s="50">
        <f t="shared" si="46"/>
        <v>0</v>
      </c>
      <c r="CU31" s="50">
        <f t="shared" si="47"/>
        <v>0</v>
      </c>
      <c r="CV31" s="50">
        <f t="shared" si="48"/>
        <v>0</v>
      </c>
      <c r="CW31" s="50">
        <f t="shared" si="49"/>
        <v>0</v>
      </c>
      <c r="CX31" s="190">
        <f t="shared" si="55"/>
        <v>0</v>
      </c>
      <c r="CZ31" s="1">
        <v>1.95</v>
      </c>
      <c r="DA31" s="167">
        <f t="shared" si="50"/>
        <v>1.7</v>
      </c>
      <c r="DB31" s="1">
        <f>Alcantarillas!AX36</f>
        <v>9.9</v>
      </c>
      <c r="DC31" s="5">
        <f t="shared" si="51"/>
        <v>32.8185</v>
      </c>
      <c r="DE31" s="172">
        <f t="shared" si="52"/>
        <v>0</v>
      </c>
      <c r="DF31" s="172">
        <f t="shared" si="53"/>
        <v>0</v>
      </c>
    </row>
    <row r="32" spans="3:110" x14ac:dyDescent="0.25">
      <c r="C32" s="191" t="s">
        <v>323</v>
      </c>
      <c r="D32" s="191">
        <v>1.2</v>
      </c>
      <c r="E32" s="191">
        <v>1.4</v>
      </c>
      <c r="F32" s="191" t="s">
        <v>321</v>
      </c>
      <c r="G32" s="191" t="s">
        <v>322</v>
      </c>
      <c r="H32" s="191" t="s">
        <v>324</v>
      </c>
      <c r="N32">
        <v>27</v>
      </c>
      <c r="O32" s="24">
        <f>Alcantarillas!E37</f>
        <v>7615</v>
      </c>
      <c r="P32" s="160">
        <f>IF(Alcantarillas!J37=1.2,1,0)</f>
        <v>1</v>
      </c>
      <c r="Q32" s="160">
        <f>IF(Alcantarillas!J37=1.3,1,0)</f>
        <v>0</v>
      </c>
      <c r="R32" s="160">
        <f>IF(Alcantarillas!J37=1.4,1,0)</f>
        <v>0</v>
      </c>
      <c r="S32" s="160">
        <f>IF(Alcantarillas!L37=1.2,1,0)</f>
        <v>0</v>
      </c>
      <c r="T32" s="160">
        <f>IF(Alcantarillas!L37=1.5,1,0)</f>
        <v>0</v>
      </c>
      <c r="V32" s="160">
        <f>IF(Alcantarillas!J37=1.2,Alcantarillas!AX37,0)</f>
        <v>11.3</v>
      </c>
      <c r="W32" s="160">
        <f>IF(Alcantarillas!J37=1.3,Alcantarillas!AX37,0)</f>
        <v>0</v>
      </c>
      <c r="X32" s="160">
        <f>IF(Alcantarillas!J37=1.4,Alcantarillas!AX37,0)</f>
        <v>0</v>
      </c>
      <c r="Y32" s="160">
        <f>IF(Alcantarillas!L37=1.2,Alcantarillas!AX37,0)</f>
        <v>0</v>
      </c>
      <c r="Z32" s="160">
        <f>IF(Alcantarillas!L37=1.5,Alcantarillas!AX37,0)</f>
        <v>0</v>
      </c>
      <c r="AB32" s="21"/>
      <c r="AC32" s="5">
        <f t="shared" si="16"/>
        <v>2.2000000000000002</v>
      </c>
      <c r="AD32" s="21"/>
      <c r="AE32" s="5">
        <f t="shared" si="17"/>
        <v>1.1309733552923256</v>
      </c>
      <c r="AF32" s="5">
        <f t="shared" si="61"/>
        <v>0</v>
      </c>
      <c r="AG32" s="21"/>
      <c r="AH32" s="5">
        <f t="shared" si="19"/>
        <v>0</v>
      </c>
      <c r="AI32" s="5">
        <f t="shared" si="20"/>
        <v>0</v>
      </c>
      <c r="AJ32" s="5">
        <f t="shared" si="21"/>
        <v>5.2</v>
      </c>
      <c r="AK32" s="5">
        <f t="shared" si="22"/>
        <v>5.5500000000000007</v>
      </c>
      <c r="AL32" s="5">
        <f t="shared" si="23"/>
        <v>0</v>
      </c>
      <c r="AM32" s="5">
        <f t="shared" si="24"/>
        <v>0</v>
      </c>
      <c r="AO32" s="21">
        <v>1.5</v>
      </c>
      <c r="AP32" s="5">
        <f t="shared" si="25"/>
        <v>2.2000000000000002</v>
      </c>
      <c r="AQ32" s="21">
        <v>0.2</v>
      </c>
      <c r="AR32" s="5">
        <f t="shared" si="26"/>
        <v>1.1309733552923256</v>
      </c>
      <c r="AS32" s="5">
        <f t="shared" si="60"/>
        <v>0.65380532894153509</v>
      </c>
      <c r="AT32" s="21">
        <v>2.12</v>
      </c>
      <c r="AU32" s="5">
        <f t="shared" si="28"/>
        <v>1.6818666666666668</v>
      </c>
      <c r="AV32" s="5">
        <f t="shared" si="29"/>
        <v>0.33637333333333341</v>
      </c>
      <c r="AW32" s="5">
        <f t="shared" si="30"/>
        <v>5.2</v>
      </c>
      <c r="AX32" s="5">
        <f t="shared" si="31"/>
        <v>5.5500000000000007</v>
      </c>
      <c r="AY32" s="5">
        <f t="shared" si="32"/>
        <v>1.1100000000000001</v>
      </c>
      <c r="AZ32" s="5">
        <f t="shared" si="33"/>
        <v>2.1001786622748684</v>
      </c>
      <c r="BB32" s="163"/>
      <c r="BC32" s="118"/>
      <c r="BD32" s="118"/>
      <c r="BE32" s="118"/>
      <c r="BF32" s="118"/>
      <c r="BG32" s="183"/>
      <c r="BH32" s="163"/>
      <c r="BI32" s="167"/>
      <c r="BJ32" s="167"/>
      <c r="BK32" s="167"/>
      <c r="BL32" s="167"/>
      <c r="BN32" s="5">
        <f t="shared" si="0"/>
        <v>2.1001786622748684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163">
        <f t="shared" si="5"/>
        <v>0</v>
      </c>
      <c r="BT32" s="163">
        <f t="shared" si="6"/>
        <v>0</v>
      </c>
      <c r="BU32" s="163">
        <f t="shared" si="7"/>
        <v>0</v>
      </c>
      <c r="BV32" s="163">
        <f t="shared" si="8"/>
        <v>0</v>
      </c>
      <c r="BW32" s="163">
        <f t="shared" si="9"/>
        <v>0</v>
      </c>
      <c r="BX32" s="163">
        <f t="shared" si="10"/>
        <v>1</v>
      </c>
      <c r="BY32" s="163">
        <f t="shared" si="11"/>
        <v>0</v>
      </c>
      <c r="BZ32" s="163">
        <f t="shared" si="12"/>
        <v>0</v>
      </c>
      <c r="CA32" s="163">
        <f t="shared" si="13"/>
        <v>0</v>
      </c>
      <c r="CB32" s="163">
        <f t="shared" si="14"/>
        <v>0</v>
      </c>
      <c r="CC32" s="163">
        <f t="shared" si="34"/>
        <v>1</v>
      </c>
      <c r="CD32" s="163">
        <f t="shared" si="35"/>
        <v>0</v>
      </c>
      <c r="CE32" s="163">
        <f t="shared" si="36"/>
        <v>0</v>
      </c>
      <c r="CF32" s="163">
        <f t="shared" si="37"/>
        <v>0</v>
      </c>
      <c r="CG32" s="163">
        <f t="shared" si="38"/>
        <v>0</v>
      </c>
      <c r="CI32" s="167">
        <v>2.7</v>
      </c>
      <c r="CJ32" s="167">
        <v>2</v>
      </c>
      <c r="CK32" s="5">
        <f t="shared" si="56"/>
        <v>5.1700000000000008</v>
      </c>
      <c r="CL32" s="5">
        <f t="shared" si="39"/>
        <v>1.7</v>
      </c>
      <c r="CM32" s="5" t="str">
        <f t="shared" si="40"/>
        <v/>
      </c>
      <c r="CN32" s="5" t="str">
        <f t="shared" si="41"/>
        <v/>
      </c>
      <c r="CO32" s="5" t="str">
        <f t="shared" si="42"/>
        <v/>
      </c>
      <c r="CP32" s="5">
        <f t="shared" si="54"/>
        <v>1.4534999999999998</v>
      </c>
      <c r="CQ32" s="5" t="str">
        <f t="shared" si="43"/>
        <v/>
      </c>
      <c r="CR32" s="5" t="str">
        <f t="shared" si="44"/>
        <v/>
      </c>
      <c r="CS32" s="5" t="str">
        <f t="shared" si="45"/>
        <v/>
      </c>
      <c r="CT32" s="50">
        <f t="shared" si="46"/>
        <v>1</v>
      </c>
      <c r="CU32" s="50">
        <f t="shared" si="47"/>
        <v>0</v>
      </c>
      <c r="CV32" s="50">
        <f t="shared" si="48"/>
        <v>0</v>
      </c>
      <c r="CW32" s="50">
        <f t="shared" si="49"/>
        <v>0</v>
      </c>
      <c r="CX32" s="190">
        <f t="shared" si="55"/>
        <v>1</v>
      </c>
      <c r="CZ32" s="1">
        <v>1.95</v>
      </c>
      <c r="DA32" s="167">
        <f t="shared" si="50"/>
        <v>1.7</v>
      </c>
      <c r="DB32" s="1">
        <f>Alcantarillas!AX37</f>
        <v>11.3</v>
      </c>
      <c r="DC32" s="5">
        <f t="shared" si="51"/>
        <v>37.459499999999998</v>
      </c>
      <c r="DE32" s="172">
        <f t="shared" si="52"/>
        <v>0</v>
      </c>
      <c r="DF32" s="172">
        <f t="shared" si="53"/>
        <v>0</v>
      </c>
    </row>
    <row r="33" spans="2:110" x14ac:dyDescent="0.25">
      <c r="C33" s="192" t="s">
        <v>325</v>
      </c>
      <c r="D33" s="50">
        <f>CP116</f>
        <v>119.81175</v>
      </c>
      <c r="E33" s="50">
        <f t="shared" ref="E33:G33" si="62">CQ116</f>
        <v>2.0804999999999998</v>
      </c>
      <c r="F33" s="50">
        <f t="shared" si="62"/>
        <v>1.4789999999999999</v>
      </c>
      <c r="G33" s="50">
        <f t="shared" si="62"/>
        <v>0</v>
      </c>
      <c r="H33" s="50">
        <f>SUM(D33:G33)</f>
        <v>123.37125</v>
      </c>
      <c r="N33">
        <v>28</v>
      </c>
      <c r="O33" s="24">
        <f>Alcantarillas!E38</f>
        <v>7918</v>
      </c>
      <c r="P33" s="160">
        <f>IF(Alcantarillas!J38=1.2,1,0)</f>
        <v>1</v>
      </c>
      <c r="Q33" s="160">
        <f>IF(Alcantarillas!J38=1.3,1,0)</f>
        <v>0</v>
      </c>
      <c r="R33" s="160">
        <f>IF(Alcantarillas!J38=1.4,1,0)</f>
        <v>0</v>
      </c>
      <c r="S33" s="160">
        <f>IF(Alcantarillas!L38=1.2,1,0)</f>
        <v>0</v>
      </c>
      <c r="T33" s="160">
        <f>IF(Alcantarillas!L38=1.5,1,0)</f>
        <v>0</v>
      </c>
      <c r="V33" s="160">
        <f>IF(Alcantarillas!J38=1.2,Alcantarillas!AX38,0)</f>
        <v>10.65</v>
      </c>
      <c r="W33" s="160">
        <f>IF(Alcantarillas!J38=1.3,Alcantarillas!AX38,0)</f>
        <v>0</v>
      </c>
      <c r="X33" s="160">
        <f>IF(Alcantarillas!J38=1.4,Alcantarillas!AX38,0)</f>
        <v>0</v>
      </c>
      <c r="Y33" s="160">
        <f>IF(Alcantarillas!L38=1.2,Alcantarillas!AX38,0)</f>
        <v>0</v>
      </c>
      <c r="Z33" s="160">
        <f>IF(Alcantarillas!L38=1.5,Alcantarillas!AX38,0)</f>
        <v>0</v>
      </c>
      <c r="AB33" s="21">
        <v>1.9</v>
      </c>
      <c r="AC33" s="5">
        <f t="shared" si="16"/>
        <v>2.2000000000000002</v>
      </c>
      <c r="AD33" s="21">
        <v>0.2</v>
      </c>
      <c r="AE33" s="5">
        <f t="shared" si="17"/>
        <v>1.1309733552923256</v>
      </c>
      <c r="AF33" s="5">
        <f t="shared" si="61"/>
        <v>-0.22619467105846514</v>
      </c>
      <c r="AG33" s="21">
        <v>2.12</v>
      </c>
      <c r="AH33" s="5">
        <f t="shared" si="19"/>
        <v>2.529866666666666</v>
      </c>
      <c r="AI33" s="5">
        <f t="shared" si="20"/>
        <v>0.50597333333333327</v>
      </c>
      <c r="AJ33" s="5">
        <f t="shared" si="21"/>
        <v>5.2</v>
      </c>
      <c r="AK33" s="5">
        <f t="shared" si="22"/>
        <v>5.5500000000000007</v>
      </c>
      <c r="AL33" s="5">
        <f t="shared" si="23"/>
        <v>1.1100000000000001</v>
      </c>
      <c r="AM33" s="5">
        <f t="shared" si="24"/>
        <v>1.3897786622748682</v>
      </c>
      <c r="AO33" s="21">
        <v>2</v>
      </c>
      <c r="AP33" s="5">
        <f t="shared" si="25"/>
        <v>2.2000000000000002</v>
      </c>
      <c r="AQ33" s="21">
        <v>0.2</v>
      </c>
      <c r="AR33" s="5">
        <f t="shared" si="26"/>
        <v>1.1309733552923256</v>
      </c>
      <c r="AS33" s="5">
        <f t="shared" si="60"/>
        <v>0.60980532894153494</v>
      </c>
      <c r="AT33" s="21">
        <v>2.12</v>
      </c>
      <c r="AU33" s="5">
        <f t="shared" si="28"/>
        <v>2.7418666666666667</v>
      </c>
      <c r="AV33" s="5">
        <f t="shared" si="29"/>
        <v>0.54837333333333338</v>
      </c>
      <c r="AW33" s="5">
        <f t="shared" si="30"/>
        <v>5.2</v>
      </c>
      <c r="AX33" s="5">
        <f t="shared" si="31"/>
        <v>5.5500000000000007</v>
      </c>
      <c r="AY33" s="5">
        <f t="shared" si="32"/>
        <v>1.1100000000000001</v>
      </c>
      <c r="AZ33" s="5">
        <f t="shared" si="33"/>
        <v>2.2681786622748685</v>
      </c>
      <c r="BB33" s="163"/>
      <c r="BC33" s="118"/>
      <c r="BD33" s="118"/>
      <c r="BE33" s="118"/>
      <c r="BF33" s="118"/>
      <c r="BG33" s="183"/>
      <c r="BH33" s="163"/>
      <c r="BI33" s="167"/>
      <c r="BJ33" s="167"/>
      <c r="BK33" s="167"/>
      <c r="BL33" s="167"/>
      <c r="BN33" s="5">
        <f t="shared" si="0"/>
        <v>3.657957324549737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163">
        <f t="shared" si="5"/>
        <v>1</v>
      </c>
      <c r="BT33" s="163">
        <f t="shared" si="6"/>
        <v>0</v>
      </c>
      <c r="BU33" s="163">
        <f t="shared" si="7"/>
        <v>0</v>
      </c>
      <c r="BV33" s="163">
        <f t="shared" si="8"/>
        <v>0</v>
      </c>
      <c r="BW33" s="163">
        <f t="shared" si="9"/>
        <v>0</v>
      </c>
      <c r="BX33" s="163">
        <f t="shared" si="10"/>
        <v>1</v>
      </c>
      <c r="BY33" s="163">
        <f t="shared" si="11"/>
        <v>0</v>
      </c>
      <c r="BZ33" s="163">
        <f t="shared" si="12"/>
        <v>0</v>
      </c>
      <c r="CA33" s="163">
        <f t="shared" si="13"/>
        <v>0</v>
      </c>
      <c r="CB33" s="163">
        <f t="shared" si="14"/>
        <v>0</v>
      </c>
      <c r="CC33" s="163">
        <f t="shared" si="34"/>
        <v>2</v>
      </c>
      <c r="CD33" s="163">
        <f t="shared" si="35"/>
        <v>0</v>
      </c>
      <c r="CE33" s="163">
        <f t="shared" si="36"/>
        <v>0</v>
      </c>
      <c r="CF33" s="163">
        <f t="shared" si="37"/>
        <v>0</v>
      </c>
      <c r="CG33" s="163">
        <f t="shared" si="38"/>
        <v>0</v>
      </c>
      <c r="CI33" s="167"/>
      <c r="CJ33" s="167"/>
      <c r="CK33" s="5"/>
      <c r="CL33" s="5"/>
      <c r="CM33" s="5" t="str">
        <f t="shared" si="40"/>
        <v/>
      </c>
      <c r="CN33" s="5" t="str">
        <f t="shared" si="41"/>
        <v/>
      </c>
      <c r="CO33" s="5" t="str">
        <f t="shared" si="42"/>
        <v/>
      </c>
      <c r="CP33" s="5" t="str">
        <f t="shared" si="54"/>
        <v/>
      </c>
      <c r="CQ33" s="5" t="str">
        <f t="shared" si="43"/>
        <v/>
      </c>
      <c r="CR33" s="5" t="str">
        <f t="shared" si="44"/>
        <v/>
      </c>
      <c r="CS33" s="5" t="str">
        <f t="shared" si="45"/>
        <v/>
      </c>
      <c r="CT33" s="50">
        <f t="shared" si="46"/>
        <v>0</v>
      </c>
      <c r="CU33" s="50">
        <f t="shared" si="47"/>
        <v>0</v>
      </c>
      <c r="CV33" s="50">
        <f t="shared" si="48"/>
        <v>0</v>
      </c>
      <c r="CW33" s="50">
        <f t="shared" si="49"/>
        <v>0</v>
      </c>
      <c r="CX33" s="190">
        <f t="shared" si="55"/>
        <v>0</v>
      </c>
      <c r="CZ33" s="1">
        <v>1.95</v>
      </c>
      <c r="DA33" s="167">
        <f t="shared" si="50"/>
        <v>1.7</v>
      </c>
      <c r="DB33" s="1">
        <f>Alcantarillas!AX38</f>
        <v>10.65</v>
      </c>
      <c r="DC33" s="5">
        <f t="shared" si="51"/>
        <v>35.304749999999999</v>
      </c>
      <c r="DE33" s="172">
        <f t="shared" si="52"/>
        <v>0</v>
      </c>
      <c r="DF33" s="172">
        <f t="shared" si="53"/>
        <v>0</v>
      </c>
    </row>
    <row r="34" spans="2:110" x14ac:dyDescent="0.25">
      <c r="C34" s="192" t="s">
        <v>326</v>
      </c>
      <c r="D34" s="50">
        <f>CT116</f>
        <v>69</v>
      </c>
      <c r="E34" s="50">
        <f t="shared" ref="E34:F34" si="63">CU116</f>
        <v>1</v>
      </c>
      <c r="F34" s="50">
        <f t="shared" si="63"/>
        <v>1</v>
      </c>
      <c r="G34" s="50">
        <f>CW116</f>
        <v>0</v>
      </c>
      <c r="H34" s="192">
        <f>SUM(D34:G34)</f>
        <v>71</v>
      </c>
      <c r="N34">
        <v>29</v>
      </c>
      <c r="O34" s="24">
        <f>Alcantarillas!E39</f>
        <v>8387.5</v>
      </c>
      <c r="P34" s="160">
        <f>IF(Alcantarillas!J39=1.2,1,0)</f>
        <v>1</v>
      </c>
      <c r="Q34" s="160">
        <f>IF(Alcantarillas!J39=1.3,1,0)</f>
        <v>0</v>
      </c>
      <c r="R34" s="160">
        <f>IF(Alcantarillas!J39=1.4,1,0)</f>
        <v>0</v>
      </c>
      <c r="S34" s="160">
        <f>IF(Alcantarillas!L39=1.2,1,0)</f>
        <v>0</v>
      </c>
      <c r="T34" s="160">
        <f>IF(Alcantarillas!L39=1.5,1,0)</f>
        <v>0</v>
      </c>
      <c r="V34" s="160">
        <f>IF(Alcantarillas!J39=1.2,Alcantarillas!AX39,0)</f>
        <v>11.25</v>
      </c>
      <c r="W34" s="160">
        <f>IF(Alcantarillas!J39=1.3,Alcantarillas!AX39,0)</f>
        <v>0</v>
      </c>
      <c r="X34" s="160">
        <f>IF(Alcantarillas!J39=1.4,Alcantarillas!AX39,0)</f>
        <v>0</v>
      </c>
      <c r="Y34" s="160">
        <f>IF(Alcantarillas!L39=1.2,Alcantarillas!AX39,0)</f>
        <v>0</v>
      </c>
      <c r="Z34" s="160">
        <f>IF(Alcantarillas!L39=1.5,Alcantarillas!AX39,0)</f>
        <v>0</v>
      </c>
      <c r="AB34" s="21"/>
      <c r="AC34" s="5">
        <f t="shared" si="16"/>
        <v>2.2000000000000002</v>
      </c>
      <c r="AD34" s="21"/>
      <c r="AE34" s="5">
        <f t="shared" si="17"/>
        <v>1.1309733552923256</v>
      </c>
      <c r="AF34" s="5">
        <f t="shared" si="61"/>
        <v>0</v>
      </c>
      <c r="AG34" s="21"/>
      <c r="AH34" s="5">
        <f t="shared" si="19"/>
        <v>0</v>
      </c>
      <c r="AI34" s="5">
        <f t="shared" si="20"/>
        <v>0</v>
      </c>
      <c r="AJ34" s="5">
        <f t="shared" si="21"/>
        <v>5.2</v>
      </c>
      <c r="AK34" s="5">
        <f t="shared" si="22"/>
        <v>5.5500000000000007</v>
      </c>
      <c r="AL34" s="5">
        <f t="shared" si="23"/>
        <v>0</v>
      </c>
      <c r="AM34" s="5">
        <f t="shared" si="24"/>
        <v>0</v>
      </c>
      <c r="AO34" s="21">
        <v>1.9</v>
      </c>
      <c r="AP34" s="5">
        <f t="shared" si="25"/>
        <v>2.2000000000000002</v>
      </c>
      <c r="AQ34" s="21">
        <v>0.2</v>
      </c>
      <c r="AR34" s="5">
        <f t="shared" si="26"/>
        <v>1.1309733552923256</v>
      </c>
      <c r="AS34" s="5">
        <f t="shared" si="60"/>
        <v>0.60980532894153494</v>
      </c>
      <c r="AT34" s="21">
        <v>2.12</v>
      </c>
      <c r="AU34" s="5">
        <f t="shared" si="28"/>
        <v>2.529866666666666</v>
      </c>
      <c r="AV34" s="5">
        <f t="shared" si="29"/>
        <v>0.50597333333333327</v>
      </c>
      <c r="AW34" s="5">
        <f t="shared" si="30"/>
        <v>5.2</v>
      </c>
      <c r="AX34" s="5">
        <f t="shared" si="31"/>
        <v>5.5500000000000007</v>
      </c>
      <c r="AY34" s="5">
        <f t="shared" si="32"/>
        <v>1.1100000000000001</v>
      </c>
      <c r="AZ34" s="5">
        <f t="shared" si="33"/>
        <v>2.2257786622748683</v>
      </c>
      <c r="BB34" s="163">
        <v>35</v>
      </c>
      <c r="BC34" s="118">
        <f t="shared" si="58"/>
        <v>52.5</v>
      </c>
      <c r="BD34" s="118">
        <f t="shared" si="57"/>
        <v>378</v>
      </c>
      <c r="BE34" s="118">
        <v>25.5</v>
      </c>
      <c r="BF34" s="118">
        <f t="shared" si="59"/>
        <v>183.6</v>
      </c>
      <c r="BG34" s="183"/>
      <c r="BH34" s="163"/>
      <c r="BI34" s="167"/>
      <c r="BJ34" s="167"/>
      <c r="BK34" s="167"/>
      <c r="BL34" s="167"/>
      <c r="BN34" s="5">
        <f t="shared" si="0"/>
        <v>2.2257786622748683</v>
      </c>
      <c r="BO34" s="5">
        <f t="shared" si="1"/>
        <v>0</v>
      </c>
      <c r="BP34" s="5">
        <f t="shared" si="2"/>
        <v>0</v>
      </c>
      <c r="BQ34" s="5">
        <f t="shared" si="3"/>
        <v>0</v>
      </c>
      <c r="BR34" s="5">
        <f t="shared" si="4"/>
        <v>0</v>
      </c>
      <c r="BS34" s="163">
        <f t="shared" si="5"/>
        <v>0</v>
      </c>
      <c r="BT34" s="163">
        <f t="shared" si="6"/>
        <v>0</v>
      </c>
      <c r="BU34" s="163">
        <f t="shared" si="7"/>
        <v>0</v>
      </c>
      <c r="BV34" s="163">
        <f t="shared" si="8"/>
        <v>0</v>
      </c>
      <c r="BW34" s="163">
        <f t="shared" si="9"/>
        <v>0</v>
      </c>
      <c r="BX34" s="163">
        <f t="shared" si="10"/>
        <v>1</v>
      </c>
      <c r="BY34" s="163">
        <f t="shared" si="11"/>
        <v>0</v>
      </c>
      <c r="BZ34" s="163">
        <f t="shared" si="12"/>
        <v>0</v>
      </c>
      <c r="CA34" s="163">
        <f t="shared" si="13"/>
        <v>0</v>
      </c>
      <c r="CB34" s="163">
        <f t="shared" si="14"/>
        <v>0</v>
      </c>
      <c r="CC34" s="163">
        <f t="shared" si="34"/>
        <v>1</v>
      </c>
      <c r="CD34" s="163">
        <f t="shared" si="35"/>
        <v>0</v>
      </c>
      <c r="CE34" s="163">
        <f t="shared" si="36"/>
        <v>0</v>
      </c>
      <c r="CF34" s="163">
        <f t="shared" si="37"/>
        <v>0</v>
      </c>
      <c r="CG34" s="163">
        <f t="shared" si="38"/>
        <v>0</v>
      </c>
      <c r="CI34" s="167">
        <v>2.4</v>
      </c>
      <c r="CJ34" s="167">
        <v>2.65</v>
      </c>
      <c r="CK34" s="5">
        <f t="shared" si="56"/>
        <v>5.5550000000000006</v>
      </c>
      <c r="CL34" s="5">
        <f t="shared" si="39"/>
        <v>1.7</v>
      </c>
      <c r="CM34" s="5" t="str">
        <f t="shared" si="40"/>
        <v/>
      </c>
      <c r="CN34" s="5" t="str">
        <f t="shared" si="41"/>
        <v/>
      </c>
      <c r="CO34" s="5" t="str">
        <f t="shared" si="42"/>
        <v/>
      </c>
      <c r="CP34" s="5">
        <f t="shared" si="54"/>
        <v>1.5427500000000001</v>
      </c>
      <c r="CQ34" s="5" t="str">
        <f t="shared" si="43"/>
        <v/>
      </c>
      <c r="CR34" s="5" t="str">
        <f t="shared" si="44"/>
        <v/>
      </c>
      <c r="CS34" s="5" t="str">
        <f t="shared" si="45"/>
        <v/>
      </c>
      <c r="CT34" s="50">
        <f t="shared" si="46"/>
        <v>1</v>
      </c>
      <c r="CU34" s="50">
        <f t="shared" si="47"/>
        <v>0</v>
      </c>
      <c r="CV34" s="50">
        <f t="shared" si="48"/>
        <v>0</v>
      </c>
      <c r="CW34" s="50">
        <f t="shared" si="49"/>
        <v>0</v>
      </c>
      <c r="CX34" s="190">
        <f t="shared" si="55"/>
        <v>1</v>
      </c>
      <c r="CZ34" s="1">
        <v>1.95</v>
      </c>
      <c r="DA34" s="167">
        <f t="shared" si="50"/>
        <v>1.7</v>
      </c>
      <c r="DB34" s="1">
        <f>Alcantarillas!AX39</f>
        <v>11.25</v>
      </c>
      <c r="DC34" s="5">
        <f t="shared" si="51"/>
        <v>37.293750000000003</v>
      </c>
      <c r="DE34" s="172">
        <f t="shared" si="52"/>
        <v>1365</v>
      </c>
      <c r="DF34" s="172">
        <f t="shared" si="53"/>
        <v>0</v>
      </c>
    </row>
    <row r="35" spans="2:110" x14ac:dyDescent="0.25">
      <c r="C35" s="188" t="s">
        <v>359</v>
      </c>
      <c r="D35" s="215">
        <f>D33*15</f>
        <v>1797.17625</v>
      </c>
      <c r="E35" s="215">
        <f>E33*15</f>
        <v>31.207499999999996</v>
      </c>
      <c r="F35" s="215">
        <f>F33*15</f>
        <v>22.184999999999999</v>
      </c>
      <c r="G35" s="215">
        <f>G33*15</f>
        <v>0</v>
      </c>
      <c r="H35" s="215">
        <f>SUM(D35:G35)</f>
        <v>1850.5687499999999</v>
      </c>
      <c r="N35">
        <v>30</v>
      </c>
      <c r="O35" s="24">
        <f>Alcantarillas!E40</f>
        <v>8693</v>
      </c>
      <c r="P35" s="160">
        <f>IF(Alcantarillas!J40=1.2,1,0)</f>
        <v>1</v>
      </c>
      <c r="Q35" s="160">
        <f>IF(Alcantarillas!J40=1.3,1,0)</f>
        <v>0</v>
      </c>
      <c r="R35" s="160">
        <f>IF(Alcantarillas!J40=1.4,1,0)</f>
        <v>0</v>
      </c>
      <c r="S35" s="160">
        <f>IF(Alcantarillas!L40=1.2,1,0)</f>
        <v>0</v>
      </c>
      <c r="T35" s="160">
        <f>IF(Alcantarillas!L40=1.5,1,0)</f>
        <v>0</v>
      </c>
      <c r="V35" s="160">
        <f>IF(Alcantarillas!J40=1.2,Alcantarillas!AX40,0)</f>
        <v>10.3</v>
      </c>
      <c r="W35" s="160">
        <f>IF(Alcantarillas!J40=1.3,Alcantarillas!AX40,0)</f>
        <v>0</v>
      </c>
      <c r="X35" s="160">
        <f>IF(Alcantarillas!J40=1.4,Alcantarillas!AX40,0)</f>
        <v>0</v>
      </c>
      <c r="Y35" s="160">
        <f>IF(Alcantarillas!L40=1.2,Alcantarillas!AX40,0)</f>
        <v>0</v>
      </c>
      <c r="Z35" s="160">
        <f>IF(Alcantarillas!L40=1.5,Alcantarillas!AX40,0)</f>
        <v>0</v>
      </c>
      <c r="AB35" s="21"/>
      <c r="AC35" s="5">
        <f t="shared" si="16"/>
        <v>2.2000000000000002</v>
      </c>
      <c r="AD35" s="21"/>
      <c r="AE35" s="5">
        <f t="shared" si="17"/>
        <v>1.1309733552923256</v>
      </c>
      <c r="AF35" s="5">
        <f t="shared" si="61"/>
        <v>0</v>
      </c>
      <c r="AG35" s="21"/>
      <c r="AH35" s="5">
        <f t="shared" si="19"/>
        <v>0</v>
      </c>
      <c r="AI35" s="5">
        <f t="shared" si="20"/>
        <v>0</v>
      </c>
      <c r="AJ35" s="5">
        <f t="shared" si="21"/>
        <v>5.2</v>
      </c>
      <c r="AK35" s="5">
        <f t="shared" si="22"/>
        <v>5.5500000000000007</v>
      </c>
      <c r="AL35" s="5">
        <f t="shared" si="23"/>
        <v>0</v>
      </c>
      <c r="AM35" s="5">
        <f t="shared" si="24"/>
        <v>0</v>
      </c>
      <c r="AO35" s="21">
        <v>1.9</v>
      </c>
      <c r="AP35" s="5">
        <f t="shared" si="25"/>
        <v>2.2000000000000002</v>
      </c>
      <c r="AQ35" s="21">
        <v>0.2</v>
      </c>
      <c r="AR35" s="5">
        <f t="shared" si="26"/>
        <v>1.1309733552923256</v>
      </c>
      <c r="AS35" s="5">
        <f t="shared" si="60"/>
        <v>0.41180532894153488</v>
      </c>
      <c r="AT35" s="21">
        <v>2.12</v>
      </c>
      <c r="AU35" s="5">
        <f t="shared" si="28"/>
        <v>2.529866666666666</v>
      </c>
      <c r="AV35" s="5">
        <f t="shared" si="29"/>
        <v>0.50597333333333327</v>
      </c>
      <c r="AW35" s="5">
        <f t="shared" si="30"/>
        <v>5.2</v>
      </c>
      <c r="AX35" s="5">
        <f t="shared" si="31"/>
        <v>5.5500000000000007</v>
      </c>
      <c r="AY35" s="5">
        <f t="shared" si="32"/>
        <v>1.1100000000000001</v>
      </c>
      <c r="AZ35" s="5">
        <f t="shared" si="33"/>
        <v>2.0277786622748684</v>
      </c>
      <c r="BB35" s="163">
        <v>6</v>
      </c>
      <c r="BC35" s="118">
        <f t="shared" si="58"/>
        <v>9</v>
      </c>
      <c r="BD35" s="118">
        <f t="shared" si="57"/>
        <v>64.8</v>
      </c>
      <c r="BE35" s="118">
        <v>9.5</v>
      </c>
      <c r="BF35" s="118">
        <f t="shared" si="59"/>
        <v>68.400000000000006</v>
      </c>
      <c r="BG35" s="183"/>
      <c r="BH35" s="163"/>
      <c r="BI35" s="167"/>
      <c r="BJ35" s="167"/>
      <c r="BK35" s="167"/>
      <c r="BL35" s="167"/>
      <c r="BN35" s="5">
        <f t="shared" si="0"/>
        <v>2.0277786622748684</v>
      </c>
      <c r="BO35" s="5">
        <f t="shared" si="1"/>
        <v>0</v>
      </c>
      <c r="BP35" s="5">
        <f t="shared" si="2"/>
        <v>0</v>
      </c>
      <c r="BQ35" s="5">
        <f t="shared" si="3"/>
        <v>0</v>
      </c>
      <c r="BR35" s="5">
        <f t="shared" si="4"/>
        <v>0</v>
      </c>
      <c r="BS35" s="163">
        <f t="shared" si="5"/>
        <v>0</v>
      </c>
      <c r="BT35" s="163">
        <f t="shared" si="6"/>
        <v>0</v>
      </c>
      <c r="BU35" s="163">
        <f t="shared" si="7"/>
        <v>0</v>
      </c>
      <c r="BV35" s="163">
        <f t="shared" si="8"/>
        <v>0</v>
      </c>
      <c r="BW35" s="163">
        <f t="shared" si="9"/>
        <v>0</v>
      </c>
      <c r="BX35" s="163">
        <f t="shared" si="10"/>
        <v>1</v>
      </c>
      <c r="BY35" s="163">
        <f t="shared" si="11"/>
        <v>0</v>
      </c>
      <c r="BZ35" s="163">
        <f t="shared" si="12"/>
        <v>0</v>
      </c>
      <c r="CA35" s="163">
        <f t="shared" si="13"/>
        <v>0</v>
      </c>
      <c r="CB35" s="163">
        <f t="shared" si="14"/>
        <v>0</v>
      </c>
      <c r="CC35" s="163">
        <f t="shared" si="34"/>
        <v>1</v>
      </c>
      <c r="CD35" s="163">
        <f t="shared" si="35"/>
        <v>0</v>
      </c>
      <c r="CE35" s="163">
        <f t="shared" si="36"/>
        <v>0</v>
      </c>
      <c r="CF35" s="163">
        <f t="shared" si="37"/>
        <v>0</v>
      </c>
      <c r="CG35" s="163">
        <f t="shared" si="38"/>
        <v>0</v>
      </c>
      <c r="CI35" s="167">
        <v>4.7</v>
      </c>
      <c r="CJ35" s="167">
        <v>2.1</v>
      </c>
      <c r="CK35" s="5">
        <f t="shared" si="56"/>
        <v>7.4800000000000013</v>
      </c>
      <c r="CL35" s="5">
        <f t="shared" si="39"/>
        <v>1.7</v>
      </c>
      <c r="CM35" s="5" t="str">
        <f t="shared" si="40"/>
        <v/>
      </c>
      <c r="CN35" s="5" t="str">
        <f t="shared" si="41"/>
        <v/>
      </c>
      <c r="CO35" s="5" t="str">
        <f t="shared" si="42"/>
        <v/>
      </c>
      <c r="CP35" s="5">
        <f t="shared" si="54"/>
        <v>1.9889999999999999</v>
      </c>
      <c r="CQ35" s="5" t="str">
        <f t="shared" si="43"/>
        <v/>
      </c>
      <c r="CR35" s="5" t="str">
        <f t="shared" si="44"/>
        <v/>
      </c>
      <c r="CS35" s="5" t="str">
        <f t="shared" si="45"/>
        <v/>
      </c>
      <c r="CT35" s="50">
        <f t="shared" si="46"/>
        <v>1</v>
      </c>
      <c r="CU35" s="50">
        <f t="shared" si="47"/>
        <v>0</v>
      </c>
      <c r="CV35" s="50">
        <f t="shared" si="48"/>
        <v>0</v>
      </c>
      <c r="CW35" s="50">
        <f t="shared" si="49"/>
        <v>0</v>
      </c>
      <c r="CX35" s="190">
        <f t="shared" si="55"/>
        <v>1</v>
      </c>
      <c r="CZ35" s="1">
        <v>1.95</v>
      </c>
      <c r="DA35" s="167">
        <f t="shared" si="50"/>
        <v>1.7</v>
      </c>
      <c r="DB35" s="1">
        <f>Alcantarillas!AX40</f>
        <v>10.3</v>
      </c>
      <c r="DC35" s="5">
        <f t="shared" si="51"/>
        <v>34.144500000000001</v>
      </c>
      <c r="DE35" s="172">
        <f t="shared" si="52"/>
        <v>234</v>
      </c>
      <c r="DF35" s="172">
        <f t="shared" si="53"/>
        <v>0</v>
      </c>
    </row>
    <row r="36" spans="2:110" x14ac:dyDescent="0.25">
      <c r="C36" s="189" t="s">
        <v>360</v>
      </c>
      <c r="D36" s="216"/>
      <c r="E36" s="216"/>
      <c r="F36" s="216"/>
      <c r="G36" s="216"/>
      <c r="H36" s="216"/>
      <c r="N36">
        <v>31</v>
      </c>
      <c r="O36" s="24">
        <f>Alcantarillas!E41</f>
        <v>8942.2000000000007</v>
      </c>
      <c r="P36" s="160">
        <f>IF(Alcantarillas!J41=1.2,1,0)</f>
        <v>1</v>
      </c>
      <c r="Q36" s="160">
        <f>IF(Alcantarillas!J41=1.3,1,0)</f>
        <v>0</v>
      </c>
      <c r="R36" s="160">
        <f>IF(Alcantarillas!J41=1.4,1,0)</f>
        <v>0</v>
      </c>
      <c r="S36" s="160">
        <f>IF(Alcantarillas!L41=1.2,1,0)</f>
        <v>0</v>
      </c>
      <c r="T36" s="160">
        <f>IF(Alcantarillas!L41=1.5,1,0)</f>
        <v>0</v>
      </c>
      <c r="V36" s="160">
        <f>IF(Alcantarillas!J41=1.2,Alcantarillas!AX41,0)</f>
        <v>11.9</v>
      </c>
      <c r="W36" s="160">
        <f>IF(Alcantarillas!J41=1.3,Alcantarillas!AX41,0)</f>
        <v>0</v>
      </c>
      <c r="X36" s="160">
        <f>IF(Alcantarillas!J41=1.4,Alcantarillas!AX41,0)</f>
        <v>0</v>
      </c>
      <c r="Y36" s="160">
        <f>IF(Alcantarillas!L41=1.2,Alcantarillas!AX41,0)</f>
        <v>0</v>
      </c>
      <c r="Z36" s="160">
        <f>IF(Alcantarillas!L41=1.5,Alcantarillas!AX41,0)</f>
        <v>0</v>
      </c>
      <c r="AB36" s="21"/>
      <c r="AC36" s="5">
        <f t="shared" si="16"/>
        <v>2.2000000000000002</v>
      </c>
      <c r="AD36" s="21"/>
      <c r="AE36" s="5">
        <f t="shared" si="17"/>
        <v>1.1309733552923256</v>
      </c>
      <c r="AF36" s="5">
        <f t="shared" si="61"/>
        <v>0</v>
      </c>
      <c r="AG36" s="21"/>
      <c r="AH36" s="5">
        <f t="shared" si="19"/>
        <v>0</v>
      </c>
      <c r="AI36" s="5">
        <f t="shared" si="20"/>
        <v>0</v>
      </c>
      <c r="AJ36" s="5">
        <f t="shared" si="21"/>
        <v>5.2</v>
      </c>
      <c r="AK36" s="5">
        <f t="shared" si="22"/>
        <v>5.5500000000000007</v>
      </c>
      <c r="AL36" s="5">
        <f t="shared" si="23"/>
        <v>0</v>
      </c>
      <c r="AM36" s="5">
        <f t="shared" si="24"/>
        <v>0</v>
      </c>
      <c r="AO36" s="21">
        <v>1.45</v>
      </c>
      <c r="AP36" s="5">
        <f t="shared" si="25"/>
        <v>2.2000000000000002</v>
      </c>
      <c r="AQ36" s="21">
        <v>0.2</v>
      </c>
      <c r="AR36" s="5">
        <f t="shared" si="26"/>
        <v>1.1309733552923256</v>
      </c>
      <c r="AS36" s="5">
        <f t="shared" si="60"/>
        <v>0.41180532894153488</v>
      </c>
      <c r="AT36" s="21">
        <v>2.12</v>
      </c>
      <c r="AU36" s="5">
        <f t="shared" si="28"/>
        <v>1.5758666666666665</v>
      </c>
      <c r="AV36" s="5">
        <f t="shared" si="29"/>
        <v>0.31517333333333331</v>
      </c>
      <c r="AW36" s="5">
        <f t="shared" si="30"/>
        <v>5.2</v>
      </c>
      <c r="AX36" s="5">
        <f t="shared" si="31"/>
        <v>5.5500000000000007</v>
      </c>
      <c r="AY36" s="5">
        <f t="shared" si="32"/>
        <v>1.1100000000000001</v>
      </c>
      <c r="AZ36" s="5">
        <f t="shared" si="33"/>
        <v>1.8369786622748683</v>
      </c>
      <c r="BB36" s="163"/>
      <c r="BC36" s="118"/>
      <c r="BD36" s="118"/>
      <c r="BE36" s="118"/>
      <c r="BF36" s="118"/>
      <c r="BG36" s="183"/>
      <c r="BH36" s="163"/>
      <c r="BI36" s="167"/>
      <c r="BJ36" s="167"/>
      <c r="BK36" s="167"/>
      <c r="BL36" s="167"/>
      <c r="BN36" s="5">
        <f t="shared" si="0"/>
        <v>1.8369786622748683</v>
      </c>
      <c r="BO36" s="5">
        <f t="shared" si="1"/>
        <v>0</v>
      </c>
      <c r="BP36" s="5">
        <f t="shared" si="2"/>
        <v>0</v>
      </c>
      <c r="BQ36" s="5">
        <f t="shared" si="3"/>
        <v>0</v>
      </c>
      <c r="BR36" s="5">
        <f t="shared" si="4"/>
        <v>0</v>
      </c>
      <c r="BS36" s="163">
        <f t="shared" si="5"/>
        <v>0</v>
      </c>
      <c r="BT36" s="163">
        <f t="shared" si="6"/>
        <v>0</v>
      </c>
      <c r="BU36" s="163">
        <f t="shared" si="7"/>
        <v>0</v>
      </c>
      <c r="BV36" s="163">
        <f t="shared" si="8"/>
        <v>0</v>
      </c>
      <c r="BW36" s="163">
        <f t="shared" si="9"/>
        <v>0</v>
      </c>
      <c r="BX36" s="163">
        <f t="shared" si="10"/>
        <v>1</v>
      </c>
      <c r="BY36" s="163">
        <f t="shared" si="11"/>
        <v>0</v>
      </c>
      <c r="BZ36" s="163">
        <f t="shared" si="12"/>
        <v>0</v>
      </c>
      <c r="CA36" s="163">
        <f t="shared" si="13"/>
        <v>0</v>
      </c>
      <c r="CB36" s="163">
        <f t="shared" si="14"/>
        <v>0</v>
      </c>
      <c r="CC36" s="163">
        <f t="shared" si="34"/>
        <v>1</v>
      </c>
      <c r="CD36" s="163">
        <f t="shared" si="35"/>
        <v>0</v>
      </c>
      <c r="CE36" s="163">
        <f t="shared" si="36"/>
        <v>0</v>
      </c>
      <c r="CF36" s="163">
        <f t="shared" si="37"/>
        <v>0</v>
      </c>
      <c r="CG36" s="163">
        <f t="shared" si="38"/>
        <v>0</v>
      </c>
      <c r="CI36" s="167">
        <v>2.1</v>
      </c>
      <c r="CJ36" s="167">
        <v>3.5</v>
      </c>
      <c r="CK36" s="5">
        <f t="shared" si="56"/>
        <v>6.16</v>
      </c>
      <c r="CL36" s="5">
        <f t="shared" si="39"/>
        <v>1.7</v>
      </c>
      <c r="CM36" s="5" t="str">
        <f t="shared" si="40"/>
        <v/>
      </c>
      <c r="CN36" s="5" t="str">
        <f t="shared" si="41"/>
        <v/>
      </c>
      <c r="CO36" s="5" t="str">
        <f t="shared" si="42"/>
        <v/>
      </c>
      <c r="CP36" s="5">
        <f t="shared" si="54"/>
        <v>1.6829999999999998</v>
      </c>
      <c r="CQ36" s="5" t="str">
        <f t="shared" si="43"/>
        <v/>
      </c>
      <c r="CR36" s="5" t="str">
        <f t="shared" si="44"/>
        <v/>
      </c>
      <c r="CS36" s="5" t="str">
        <f t="shared" si="45"/>
        <v/>
      </c>
      <c r="CT36" s="50">
        <f t="shared" si="46"/>
        <v>1</v>
      </c>
      <c r="CU36" s="50">
        <f t="shared" si="47"/>
        <v>0</v>
      </c>
      <c r="CV36" s="50">
        <f t="shared" si="48"/>
        <v>0</v>
      </c>
      <c r="CW36" s="50">
        <f t="shared" si="49"/>
        <v>0</v>
      </c>
      <c r="CX36" s="190">
        <f t="shared" si="55"/>
        <v>1</v>
      </c>
      <c r="CZ36" s="1">
        <v>1.95</v>
      </c>
      <c r="DA36" s="167">
        <f t="shared" si="50"/>
        <v>1.7</v>
      </c>
      <c r="DB36" s="1">
        <f>Alcantarillas!AX41</f>
        <v>11.9</v>
      </c>
      <c r="DC36" s="5">
        <f t="shared" si="51"/>
        <v>39.448500000000003</v>
      </c>
      <c r="DE36" s="172">
        <f t="shared" si="52"/>
        <v>0</v>
      </c>
      <c r="DF36" s="172">
        <f t="shared" si="53"/>
        <v>0</v>
      </c>
    </row>
    <row r="37" spans="2:110" x14ac:dyDescent="0.25">
      <c r="N37">
        <v>32</v>
      </c>
      <c r="O37" s="24">
        <f>Alcantarillas!E42</f>
        <v>9433</v>
      </c>
      <c r="P37" s="160">
        <f>IF(Alcantarillas!J42=1.2,1,0)</f>
        <v>1</v>
      </c>
      <c r="Q37" s="160">
        <f>IF(Alcantarillas!J42=1.3,1,0)</f>
        <v>0</v>
      </c>
      <c r="R37" s="160">
        <f>IF(Alcantarillas!J42=1.4,1,0)</f>
        <v>0</v>
      </c>
      <c r="S37" s="160">
        <f>IF(Alcantarillas!L42=1.2,1,0)</f>
        <v>0</v>
      </c>
      <c r="T37" s="160">
        <f>IF(Alcantarillas!L42=1.5,1,0)</f>
        <v>0</v>
      </c>
      <c r="V37" s="160">
        <f>IF(Alcantarillas!J42=1.2,Alcantarillas!AX42,0)</f>
        <v>12.6</v>
      </c>
      <c r="W37" s="160">
        <f>IF(Alcantarillas!J42=1.3,Alcantarillas!AX42,0)</f>
        <v>0</v>
      </c>
      <c r="X37" s="160">
        <f>IF(Alcantarillas!J42=1.4,Alcantarillas!AX42,0)</f>
        <v>0</v>
      </c>
      <c r="Y37" s="160">
        <f>IF(Alcantarillas!L42=1.2,Alcantarillas!AX42,0)</f>
        <v>0</v>
      </c>
      <c r="Z37" s="160">
        <f>IF(Alcantarillas!L42=1.5,Alcantarillas!AX42,0)</f>
        <v>0</v>
      </c>
      <c r="AB37" s="21"/>
      <c r="AC37" s="5">
        <f t="shared" si="16"/>
        <v>2.2000000000000002</v>
      </c>
      <c r="AD37" s="21"/>
      <c r="AE37" s="5">
        <f t="shared" si="17"/>
        <v>1.1309733552923256</v>
      </c>
      <c r="AF37" s="5">
        <f t="shared" si="61"/>
        <v>0</v>
      </c>
      <c r="AG37" s="21"/>
      <c r="AH37" s="5">
        <f t="shared" si="19"/>
        <v>0</v>
      </c>
      <c r="AI37" s="5">
        <f t="shared" si="20"/>
        <v>0</v>
      </c>
      <c r="AJ37" s="5">
        <f t="shared" si="21"/>
        <v>5.2</v>
      </c>
      <c r="AK37" s="5">
        <f t="shared" si="22"/>
        <v>5.5500000000000007</v>
      </c>
      <c r="AL37" s="5">
        <f t="shared" si="23"/>
        <v>0</v>
      </c>
      <c r="AM37" s="5">
        <f t="shared" si="24"/>
        <v>0</v>
      </c>
      <c r="AO37" s="21">
        <v>1.45</v>
      </c>
      <c r="AP37" s="5">
        <f t="shared" si="25"/>
        <v>2.2000000000000002</v>
      </c>
      <c r="AQ37" s="21">
        <v>0.2</v>
      </c>
      <c r="AR37" s="5">
        <f t="shared" si="26"/>
        <v>1.1309733552923256</v>
      </c>
      <c r="AS37" s="5">
        <f t="shared" si="60"/>
        <v>0.5658053289415349</v>
      </c>
      <c r="AT37" s="21">
        <v>2.12</v>
      </c>
      <c r="AU37" s="5">
        <f t="shared" si="28"/>
        <v>1.5758666666666665</v>
      </c>
      <c r="AV37" s="5">
        <f t="shared" si="29"/>
        <v>0.31517333333333331</v>
      </c>
      <c r="AW37" s="5">
        <f t="shared" si="30"/>
        <v>5.2</v>
      </c>
      <c r="AX37" s="5">
        <f t="shared" si="31"/>
        <v>5.5500000000000007</v>
      </c>
      <c r="AY37" s="5">
        <f t="shared" si="32"/>
        <v>1.1100000000000001</v>
      </c>
      <c r="AZ37" s="5">
        <f t="shared" si="33"/>
        <v>1.9909786622748684</v>
      </c>
      <c r="BB37" s="163"/>
      <c r="BC37" s="118"/>
      <c r="BD37" s="118"/>
      <c r="BE37" s="118"/>
      <c r="BF37" s="118"/>
      <c r="BG37" s="183"/>
      <c r="BH37" s="163"/>
      <c r="BI37" s="167"/>
      <c r="BJ37" s="167"/>
      <c r="BK37" s="167"/>
      <c r="BL37" s="167"/>
      <c r="BN37" s="5">
        <f t="shared" si="0"/>
        <v>1.9909786622748684</v>
      </c>
      <c r="BO37" s="5">
        <f t="shared" si="1"/>
        <v>0</v>
      </c>
      <c r="BP37" s="5">
        <f t="shared" si="2"/>
        <v>0</v>
      </c>
      <c r="BQ37" s="5">
        <f t="shared" si="3"/>
        <v>0</v>
      </c>
      <c r="BR37" s="5">
        <f t="shared" si="4"/>
        <v>0</v>
      </c>
      <c r="BS37" s="163">
        <f t="shared" si="5"/>
        <v>0</v>
      </c>
      <c r="BT37" s="163">
        <f t="shared" si="6"/>
        <v>0</v>
      </c>
      <c r="BU37" s="163">
        <f t="shared" si="7"/>
        <v>0</v>
      </c>
      <c r="BV37" s="163">
        <f t="shared" si="8"/>
        <v>0</v>
      </c>
      <c r="BW37" s="163">
        <f t="shared" si="9"/>
        <v>0</v>
      </c>
      <c r="BX37" s="163">
        <f t="shared" si="10"/>
        <v>1</v>
      </c>
      <c r="BY37" s="163">
        <f t="shared" si="11"/>
        <v>0</v>
      </c>
      <c r="BZ37" s="163">
        <f t="shared" si="12"/>
        <v>0</v>
      </c>
      <c r="CA37" s="163">
        <f t="shared" si="13"/>
        <v>0</v>
      </c>
      <c r="CB37" s="163">
        <f t="shared" si="14"/>
        <v>0</v>
      </c>
      <c r="CC37" s="163">
        <f t="shared" si="34"/>
        <v>1</v>
      </c>
      <c r="CD37" s="163">
        <f t="shared" si="35"/>
        <v>0</v>
      </c>
      <c r="CE37" s="163">
        <f t="shared" si="36"/>
        <v>0</v>
      </c>
      <c r="CF37" s="163">
        <f t="shared" si="37"/>
        <v>0</v>
      </c>
      <c r="CG37" s="163">
        <f t="shared" si="38"/>
        <v>0</v>
      </c>
      <c r="CI37" s="167">
        <v>4</v>
      </c>
      <c r="CJ37" s="167">
        <v>2.0499999999999998</v>
      </c>
      <c r="CK37" s="5">
        <f t="shared" si="56"/>
        <v>6.6550000000000002</v>
      </c>
      <c r="CL37" s="5">
        <f t="shared" si="39"/>
        <v>1.7</v>
      </c>
      <c r="CM37" s="5" t="str">
        <f t="shared" si="40"/>
        <v/>
      </c>
      <c r="CN37" s="5" t="str">
        <f t="shared" si="41"/>
        <v/>
      </c>
      <c r="CO37" s="5" t="str">
        <f t="shared" si="42"/>
        <v/>
      </c>
      <c r="CP37" s="5">
        <f t="shared" si="54"/>
        <v>1.79775</v>
      </c>
      <c r="CQ37" s="5" t="str">
        <f t="shared" si="43"/>
        <v/>
      </c>
      <c r="CR37" s="5" t="str">
        <f t="shared" si="44"/>
        <v/>
      </c>
      <c r="CS37" s="5" t="str">
        <f t="shared" si="45"/>
        <v/>
      </c>
      <c r="CT37" s="50">
        <f t="shared" si="46"/>
        <v>1</v>
      </c>
      <c r="CU37" s="50">
        <f t="shared" si="47"/>
        <v>0</v>
      </c>
      <c r="CV37" s="50">
        <f t="shared" si="48"/>
        <v>0</v>
      </c>
      <c r="CW37" s="50">
        <f t="shared" si="49"/>
        <v>0</v>
      </c>
      <c r="CX37" s="190">
        <f t="shared" si="55"/>
        <v>1</v>
      </c>
      <c r="CZ37" s="1">
        <v>2</v>
      </c>
      <c r="DA37" s="167">
        <f t="shared" si="50"/>
        <v>1.7</v>
      </c>
      <c r="DB37" s="1">
        <f>Alcantarillas!AX42</f>
        <v>12.6</v>
      </c>
      <c r="DC37" s="5">
        <f t="shared" si="51"/>
        <v>42.839999999999996</v>
      </c>
      <c r="DE37" s="172">
        <f t="shared" si="52"/>
        <v>0</v>
      </c>
      <c r="DF37" s="172">
        <f t="shared" si="53"/>
        <v>0</v>
      </c>
    </row>
    <row r="38" spans="2:110" x14ac:dyDescent="0.25">
      <c r="N38">
        <v>33</v>
      </c>
      <c r="O38" s="24">
        <f>Alcantarillas!E43</f>
        <v>9555</v>
      </c>
      <c r="P38" s="160">
        <f>IF(Alcantarillas!J43=1.2,1,0)</f>
        <v>1</v>
      </c>
      <c r="Q38" s="160">
        <f>IF(Alcantarillas!J43=1.3,1,0)</f>
        <v>0</v>
      </c>
      <c r="R38" s="160">
        <f>IF(Alcantarillas!J43=1.4,1,0)</f>
        <v>0</v>
      </c>
      <c r="S38" s="160">
        <f>IF(Alcantarillas!L43=1.2,1,0)</f>
        <v>0</v>
      </c>
      <c r="T38" s="160">
        <f>IF(Alcantarillas!L43=1.5,1,0)</f>
        <v>0</v>
      </c>
      <c r="V38" s="160">
        <f>IF(Alcantarillas!J43=1.2,Alcantarillas!AX43,0)</f>
        <v>10.25</v>
      </c>
      <c r="W38" s="160">
        <f>IF(Alcantarillas!J43=1.3,Alcantarillas!AX43,0)</f>
        <v>0</v>
      </c>
      <c r="X38" s="160">
        <f>IF(Alcantarillas!J43=1.4,Alcantarillas!AX43,0)</f>
        <v>0</v>
      </c>
      <c r="Y38" s="160">
        <f>IF(Alcantarillas!L43=1.2,Alcantarillas!AX43,0)</f>
        <v>0</v>
      </c>
      <c r="Z38" s="160">
        <f>IF(Alcantarillas!L43=1.5,Alcantarillas!AX43,0)</f>
        <v>0</v>
      </c>
      <c r="AB38" s="21"/>
      <c r="AC38" s="5">
        <f t="shared" si="16"/>
        <v>2.2000000000000002</v>
      </c>
      <c r="AD38" s="21"/>
      <c r="AE38" s="5">
        <f t="shared" si="17"/>
        <v>1.1309733552923256</v>
      </c>
      <c r="AF38" s="5">
        <f t="shared" si="61"/>
        <v>0</v>
      </c>
      <c r="AG38" s="21">
        <v>2.12</v>
      </c>
      <c r="AH38" s="5">
        <f t="shared" si="19"/>
        <v>-1.4981333333333333</v>
      </c>
      <c r="AI38" s="5">
        <f t="shared" si="20"/>
        <v>0</v>
      </c>
      <c r="AJ38" s="5">
        <f t="shared" si="21"/>
        <v>5.2</v>
      </c>
      <c r="AK38" s="5">
        <f t="shared" si="22"/>
        <v>5.5500000000000007</v>
      </c>
      <c r="AL38" s="5">
        <f t="shared" si="23"/>
        <v>0</v>
      </c>
      <c r="AM38" s="5">
        <f t="shared" si="24"/>
        <v>0</v>
      </c>
      <c r="AO38" s="21">
        <v>1.8</v>
      </c>
      <c r="AP38" s="5">
        <f t="shared" si="25"/>
        <v>2.2000000000000002</v>
      </c>
      <c r="AQ38" s="21">
        <v>0.2</v>
      </c>
      <c r="AR38" s="5">
        <f t="shared" si="26"/>
        <v>1.1309733552923256</v>
      </c>
      <c r="AS38" s="5">
        <f t="shared" si="60"/>
        <v>0.65380532894153509</v>
      </c>
      <c r="AT38" s="21">
        <v>2.12</v>
      </c>
      <c r="AU38" s="5">
        <f t="shared" si="28"/>
        <v>2.3178666666666672</v>
      </c>
      <c r="AV38" s="5">
        <f t="shared" si="29"/>
        <v>0.46357333333333345</v>
      </c>
      <c r="AW38" s="5">
        <f t="shared" si="30"/>
        <v>5.2</v>
      </c>
      <c r="AX38" s="5">
        <f t="shared" si="31"/>
        <v>5.5500000000000007</v>
      </c>
      <c r="AY38" s="5">
        <f t="shared" si="32"/>
        <v>1.1100000000000001</v>
      </c>
      <c r="AZ38" s="5">
        <f t="shared" si="33"/>
        <v>2.2273786622748686</v>
      </c>
      <c r="BB38" s="163"/>
      <c r="BC38" s="118"/>
      <c r="BD38" s="118"/>
      <c r="BE38" s="118"/>
      <c r="BF38" s="118"/>
      <c r="BG38" s="183"/>
      <c r="BH38" s="163"/>
      <c r="BI38" s="167"/>
      <c r="BJ38" s="167"/>
      <c r="BK38" s="167"/>
      <c r="BL38" s="167"/>
      <c r="BN38" s="5">
        <f t="shared" ref="BN38:BN69" si="64">IF(P38=1,AM38+AZ38,0)</f>
        <v>2.2273786622748686</v>
      </c>
      <c r="BO38" s="5">
        <f t="shared" ref="BO38:BO69" si="65">IF(Q38=1,AM38+AZ38,0)</f>
        <v>0</v>
      </c>
      <c r="BP38" s="5">
        <f t="shared" ref="BP38:BP69" si="66">IF(R38=1,AM38+AZ38,0)</f>
        <v>0</v>
      </c>
      <c r="BQ38" s="5">
        <f t="shared" ref="BQ38:BQ69" si="67">IF(S38=1,AM38+AZ38,0)</f>
        <v>0</v>
      </c>
      <c r="BR38" s="5">
        <f t="shared" ref="BR38:BR69" si="68">IF(T38=1,AM38+AZ38,0)</f>
        <v>0</v>
      </c>
      <c r="BS38" s="163">
        <f t="shared" ref="BS38:BS69" si="69">IF(P38=1,IF(AB38&lt;&gt;0,1,0),0)</f>
        <v>0</v>
      </c>
      <c r="BT38" s="163">
        <f t="shared" ref="BT38:BT69" si="70">IF(Q38=1,IF(AB38&lt;&gt;0,1,0),0)</f>
        <v>0</v>
      </c>
      <c r="BU38" s="163">
        <f t="shared" ref="BU38:BU69" si="71">IF(R38=1,IF(AB38&lt;&gt;0,1,0),0)</f>
        <v>0</v>
      </c>
      <c r="BV38" s="163">
        <f t="shared" ref="BV38:BV69" si="72">IF(S38=1,IF(AB38&lt;&gt;0,1,0),0)</f>
        <v>0</v>
      </c>
      <c r="BW38" s="163">
        <f t="shared" ref="BW38:BW69" si="73">IF(T38=1,IF(AB38&lt;&gt;0,1,0),0)</f>
        <v>0</v>
      </c>
      <c r="BX38" s="163">
        <f t="shared" ref="BX38:BX69" si="74">IF(P38=1,IF(AO38&lt;&gt;0,1,0),0)</f>
        <v>1</v>
      </c>
      <c r="BY38" s="163">
        <f t="shared" ref="BY38:BY69" si="75">IF(Q38=1,IF(AO38&lt;&gt;0,1,0),0)</f>
        <v>0</v>
      </c>
      <c r="BZ38" s="163">
        <f t="shared" ref="BZ38:BZ69" si="76">IF(R38=1,IF(AO38&lt;&gt;0,1,0),0)</f>
        <v>0</v>
      </c>
      <c r="CA38" s="163">
        <f t="shared" ref="CA38:CA69" si="77">IF(S38=1,IF(AO38&lt;&gt;0,1,0),0)</f>
        <v>0</v>
      </c>
      <c r="CB38" s="163">
        <f t="shared" ref="CB38:CB69" si="78">IF(T38=1,IF(AO38&lt;&gt;0,1,0),0)</f>
        <v>0</v>
      </c>
      <c r="CC38" s="163">
        <f t="shared" si="34"/>
        <v>1</v>
      </c>
      <c r="CD38" s="163">
        <f t="shared" si="35"/>
        <v>0</v>
      </c>
      <c r="CE38" s="163">
        <f t="shared" si="36"/>
        <v>0</v>
      </c>
      <c r="CF38" s="163">
        <f t="shared" si="37"/>
        <v>0</v>
      </c>
      <c r="CG38" s="163">
        <f t="shared" si="38"/>
        <v>0</v>
      </c>
      <c r="CI38" s="167">
        <v>2.0499999999999998</v>
      </c>
      <c r="CJ38" s="167">
        <v>3.8</v>
      </c>
      <c r="CK38" s="5">
        <f t="shared" si="56"/>
        <v>6.4350000000000005</v>
      </c>
      <c r="CL38" s="5">
        <f t="shared" si="39"/>
        <v>1.7</v>
      </c>
      <c r="CM38" s="5" t="str">
        <f t="shared" si="40"/>
        <v/>
      </c>
      <c r="CN38" s="5" t="str">
        <f t="shared" si="41"/>
        <v/>
      </c>
      <c r="CO38" s="5" t="str">
        <f t="shared" si="42"/>
        <v/>
      </c>
      <c r="CP38" s="5">
        <f t="shared" si="54"/>
        <v>1.7467499999999998</v>
      </c>
      <c r="CQ38" s="5" t="str">
        <f t="shared" si="43"/>
        <v/>
      </c>
      <c r="CR38" s="5" t="str">
        <f t="shared" si="44"/>
        <v/>
      </c>
      <c r="CS38" s="5" t="str">
        <f t="shared" si="45"/>
        <v/>
      </c>
      <c r="CT38" s="50">
        <f t="shared" si="46"/>
        <v>1</v>
      </c>
      <c r="CU38" s="50">
        <f t="shared" si="47"/>
        <v>0</v>
      </c>
      <c r="CV38" s="50">
        <f t="shared" si="48"/>
        <v>0</v>
      </c>
      <c r="CW38" s="50">
        <f t="shared" si="49"/>
        <v>0</v>
      </c>
      <c r="CX38" s="190">
        <f t="shared" si="55"/>
        <v>1</v>
      </c>
      <c r="CZ38" s="1">
        <v>1.95</v>
      </c>
      <c r="DA38" s="167">
        <f t="shared" si="50"/>
        <v>1.7</v>
      </c>
      <c r="DB38" s="1">
        <f>Alcantarillas!AX43</f>
        <v>10.25</v>
      </c>
      <c r="DC38" s="5">
        <f t="shared" si="51"/>
        <v>33.978749999999998</v>
      </c>
      <c r="DE38" s="172">
        <f t="shared" si="52"/>
        <v>0</v>
      </c>
      <c r="DF38" s="172">
        <f t="shared" si="53"/>
        <v>0</v>
      </c>
    </row>
    <row r="39" spans="2:110" x14ac:dyDescent="0.25">
      <c r="N39">
        <v>34</v>
      </c>
      <c r="O39" s="24">
        <f>Alcantarillas!E44</f>
        <v>9778</v>
      </c>
      <c r="P39" s="160">
        <f>IF(Alcantarillas!J44=1.2,1,0)</f>
        <v>1</v>
      </c>
      <c r="Q39" s="160">
        <f>IF(Alcantarillas!J44=1.3,1,0)</f>
        <v>0</v>
      </c>
      <c r="R39" s="160">
        <f>IF(Alcantarillas!J44=1.4,1,0)</f>
        <v>0</v>
      </c>
      <c r="S39" s="160">
        <f>IF(Alcantarillas!L44=1.2,1,0)</f>
        <v>0</v>
      </c>
      <c r="T39" s="160">
        <f>IF(Alcantarillas!L44=1.5,1,0)</f>
        <v>0</v>
      </c>
      <c r="V39" s="160">
        <f>IF(Alcantarillas!J44=1.2,Alcantarillas!AX44,0)</f>
        <v>9.5500000000000007</v>
      </c>
      <c r="W39" s="160">
        <f>IF(Alcantarillas!J44=1.3,Alcantarillas!AX44,0)</f>
        <v>0</v>
      </c>
      <c r="X39" s="160">
        <f>IF(Alcantarillas!J44=1.4,Alcantarillas!AX44,0)</f>
        <v>0</v>
      </c>
      <c r="Y39" s="160">
        <f>IF(Alcantarillas!L44=1.2,Alcantarillas!AX44,0)</f>
        <v>0</v>
      </c>
      <c r="Z39" s="160">
        <f>IF(Alcantarillas!L44=1.5,Alcantarillas!AX44,0)</f>
        <v>0</v>
      </c>
      <c r="AB39" s="21">
        <v>2.0499999999999998</v>
      </c>
      <c r="AC39" s="5">
        <f t="shared" si="16"/>
        <v>2.2000000000000002</v>
      </c>
      <c r="AD39" s="21">
        <v>0.2</v>
      </c>
      <c r="AE39" s="5">
        <f t="shared" si="17"/>
        <v>1.1309733552923256</v>
      </c>
      <c r="AF39" s="5">
        <f t="shared" si="61"/>
        <v>-0.22619467105846514</v>
      </c>
      <c r="AG39" s="21"/>
      <c r="AH39" s="5">
        <f t="shared" si="19"/>
        <v>0</v>
      </c>
      <c r="AI39" s="5">
        <f t="shared" si="20"/>
        <v>0</v>
      </c>
      <c r="AJ39" s="5">
        <f t="shared" si="21"/>
        <v>5.2</v>
      </c>
      <c r="AK39" s="5">
        <f t="shared" si="22"/>
        <v>5.5500000000000007</v>
      </c>
      <c r="AL39" s="5">
        <f t="shared" si="23"/>
        <v>1.1100000000000001</v>
      </c>
      <c r="AM39" s="5">
        <f t="shared" si="24"/>
        <v>0.88380532894153496</v>
      </c>
      <c r="AO39" s="21">
        <v>2</v>
      </c>
      <c r="AP39" s="5">
        <f t="shared" si="25"/>
        <v>2.2000000000000002</v>
      </c>
      <c r="AQ39" s="21">
        <v>0.2</v>
      </c>
      <c r="AR39" s="5">
        <f t="shared" si="26"/>
        <v>1.1309733552923256</v>
      </c>
      <c r="AS39" s="5">
        <f t="shared" si="60"/>
        <v>0.5658053289415349</v>
      </c>
      <c r="AT39" s="21">
        <v>2.12</v>
      </c>
      <c r="AU39" s="5">
        <f t="shared" si="28"/>
        <v>2.7418666666666667</v>
      </c>
      <c r="AV39" s="5">
        <f t="shared" si="29"/>
        <v>0.54837333333333338</v>
      </c>
      <c r="AW39" s="5">
        <f t="shared" si="30"/>
        <v>5.2</v>
      </c>
      <c r="AX39" s="5">
        <f t="shared" si="31"/>
        <v>5.5500000000000007</v>
      </c>
      <c r="AY39" s="5">
        <f t="shared" si="32"/>
        <v>1.1100000000000001</v>
      </c>
      <c r="AZ39" s="5">
        <f t="shared" si="33"/>
        <v>2.224178662274868</v>
      </c>
      <c r="BB39" s="163"/>
      <c r="BC39" s="118"/>
      <c r="BD39" s="118"/>
      <c r="BE39" s="118"/>
      <c r="BF39" s="118"/>
      <c r="BG39" s="183"/>
      <c r="BH39" s="163"/>
      <c r="BI39" s="167"/>
      <c r="BJ39" s="167"/>
      <c r="BK39" s="167"/>
      <c r="BL39" s="167"/>
      <c r="BN39" s="5">
        <f t="shared" si="64"/>
        <v>3.1079839912164031</v>
      </c>
      <c r="BO39" s="5">
        <f t="shared" si="65"/>
        <v>0</v>
      </c>
      <c r="BP39" s="5">
        <f t="shared" si="66"/>
        <v>0</v>
      </c>
      <c r="BQ39" s="5">
        <f t="shared" si="67"/>
        <v>0</v>
      </c>
      <c r="BR39" s="5">
        <f t="shared" si="68"/>
        <v>0</v>
      </c>
      <c r="BS39" s="163">
        <f t="shared" si="69"/>
        <v>1</v>
      </c>
      <c r="BT39" s="163">
        <f t="shared" si="70"/>
        <v>0</v>
      </c>
      <c r="BU39" s="163">
        <f t="shared" si="71"/>
        <v>0</v>
      </c>
      <c r="BV39" s="163">
        <f t="shared" si="72"/>
        <v>0</v>
      </c>
      <c r="BW39" s="163">
        <f t="shared" si="73"/>
        <v>0</v>
      </c>
      <c r="BX39" s="163">
        <f t="shared" si="74"/>
        <v>1</v>
      </c>
      <c r="BY39" s="163">
        <f t="shared" si="75"/>
        <v>0</v>
      </c>
      <c r="BZ39" s="163">
        <f t="shared" si="76"/>
        <v>0</v>
      </c>
      <c r="CA39" s="163">
        <f t="shared" si="77"/>
        <v>0</v>
      </c>
      <c r="CB39" s="163">
        <f t="shared" si="78"/>
        <v>0</v>
      </c>
      <c r="CC39" s="163">
        <f t="shared" si="34"/>
        <v>2</v>
      </c>
      <c r="CD39" s="163">
        <f t="shared" si="35"/>
        <v>0</v>
      </c>
      <c r="CE39" s="163">
        <f t="shared" si="36"/>
        <v>0</v>
      </c>
      <c r="CF39" s="163">
        <f t="shared" si="37"/>
        <v>0</v>
      </c>
      <c r="CG39" s="163">
        <f t="shared" si="38"/>
        <v>0</v>
      </c>
      <c r="CI39" s="167"/>
      <c r="CJ39" s="167"/>
      <c r="CK39" s="5"/>
      <c r="CL39" s="5"/>
      <c r="CM39" s="5" t="str">
        <f t="shared" si="40"/>
        <v/>
      </c>
      <c r="CN39" s="5" t="str">
        <f t="shared" si="41"/>
        <v/>
      </c>
      <c r="CO39" s="5" t="str">
        <f t="shared" si="42"/>
        <v/>
      </c>
      <c r="CP39" s="5" t="str">
        <f t="shared" si="54"/>
        <v/>
      </c>
      <c r="CQ39" s="5" t="str">
        <f t="shared" si="43"/>
        <v/>
      </c>
      <c r="CR39" s="5" t="str">
        <f t="shared" si="44"/>
        <v/>
      </c>
      <c r="CS39" s="5" t="str">
        <f t="shared" si="45"/>
        <v/>
      </c>
      <c r="CT39" s="50">
        <f t="shared" si="46"/>
        <v>0</v>
      </c>
      <c r="CU39" s="50">
        <f t="shared" si="47"/>
        <v>0</v>
      </c>
      <c r="CV39" s="50">
        <f t="shared" si="48"/>
        <v>0</v>
      </c>
      <c r="CW39" s="50">
        <f t="shared" si="49"/>
        <v>0</v>
      </c>
      <c r="CX39" s="190">
        <f t="shared" si="55"/>
        <v>0</v>
      </c>
      <c r="CZ39" s="1">
        <v>1.95</v>
      </c>
      <c r="DA39" s="167">
        <f t="shared" si="50"/>
        <v>1.7</v>
      </c>
      <c r="DB39" s="1">
        <f>Alcantarillas!AX44</f>
        <v>9.5500000000000007</v>
      </c>
      <c r="DC39" s="5">
        <f t="shared" si="51"/>
        <v>31.658250000000002</v>
      </c>
      <c r="DE39" s="172">
        <f t="shared" si="52"/>
        <v>0</v>
      </c>
      <c r="DF39" s="172">
        <f t="shared" si="53"/>
        <v>0</v>
      </c>
    </row>
    <row r="40" spans="2:110" x14ac:dyDescent="0.25">
      <c r="N40">
        <v>35</v>
      </c>
      <c r="O40" s="24">
        <f>Alcantarillas!E45</f>
        <v>10468.5</v>
      </c>
      <c r="P40" s="160">
        <f>IF(Alcantarillas!J45=1.2,1,0)</f>
        <v>1</v>
      </c>
      <c r="Q40" s="160">
        <f>IF(Alcantarillas!J45=1.3,1,0)</f>
        <v>0</v>
      </c>
      <c r="R40" s="160">
        <f>IF(Alcantarillas!J45=1.4,1,0)</f>
        <v>0</v>
      </c>
      <c r="S40" s="160">
        <f>IF(Alcantarillas!L45=1.2,1,0)</f>
        <v>0</v>
      </c>
      <c r="T40" s="160">
        <f>IF(Alcantarillas!L45=1.5,1,0)</f>
        <v>0</v>
      </c>
      <c r="V40" s="160">
        <f>IF(Alcantarillas!J45=1.2,Alcantarillas!AX45,0)</f>
        <v>11.35</v>
      </c>
      <c r="W40" s="160">
        <f>IF(Alcantarillas!J45=1.3,Alcantarillas!AX45,0)</f>
        <v>0</v>
      </c>
      <c r="X40" s="160">
        <f>IF(Alcantarillas!J45=1.4,Alcantarillas!AX45,0)</f>
        <v>0</v>
      </c>
      <c r="Y40" s="160">
        <f>IF(Alcantarillas!L45=1.2,Alcantarillas!AX45,0)</f>
        <v>0</v>
      </c>
      <c r="Z40" s="160">
        <f>IF(Alcantarillas!L45=1.5,Alcantarillas!AX45,0)</f>
        <v>0</v>
      </c>
      <c r="AB40" s="21"/>
      <c r="AC40" s="5">
        <f t="shared" si="16"/>
        <v>2.2000000000000002</v>
      </c>
      <c r="AD40" s="21"/>
      <c r="AE40" s="5">
        <f t="shared" si="17"/>
        <v>1.1309733552923256</v>
      </c>
      <c r="AF40" s="5">
        <f t="shared" si="61"/>
        <v>0</v>
      </c>
      <c r="AG40" s="21"/>
      <c r="AH40" s="5">
        <f t="shared" si="19"/>
        <v>0</v>
      </c>
      <c r="AI40" s="5">
        <f t="shared" si="20"/>
        <v>0</v>
      </c>
      <c r="AJ40" s="5">
        <f t="shared" si="21"/>
        <v>5.2</v>
      </c>
      <c r="AK40" s="5">
        <f t="shared" si="22"/>
        <v>5.5500000000000007</v>
      </c>
      <c r="AL40" s="5">
        <f t="shared" si="23"/>
        <v>0</v>
      </c>
      <c r="AM40" s="5">
        <f t="shared" si="24"/>
        <v>0</v>
      </c>
      <c r="AO40" s="21">
        <v>1.8</v>
      </c>
      <c r="AP40" s="5">
        <f t="shared" si="25"/>
        <v>2.2000000000000002</v>
      </c>
      <c r="AQ40" s="21">
        <v>0.2</v>
      </c>
      <c r="AR40" s="5">
        <f t="shared" si="26"/>
        <v>1.1309733552923256</v>
      </c>
      <c r="AS40" s="5">
        <f t="shared" si="60"/>
        <v>0.40300532894153496</v>
      </c>
      <c r="AT40" s="21">
        <v>2.12</v>
      </c>
      <c r="AU40" s="5">
        <f t="shared" si="28"/>
        <v>2.3178666666666672</v>
      </c>
      <c r="AV40" s="5">
        <f t="shared" si="29"/>
        <v>0.46357333333333345</v>
      </c>
      <c r="AW40" s="5">
        <f t="shared" si="30"/>
        <v>5.2</v>
      </c>
      <c r="AX40" s="5">
        <f t="shared" si="31"/>
        <v>5.5500000000000007</v>
      </c>
      <c r="AY40" s="5">
        <f t="shared" si="32"/>
        <v>1.1100000000000001</v>
      </c>
      <c r="AZ40" s="5">
        <f t="shared" si="33"/>
        <v>1.9765786622748684</v>
      </c>
      <c r="BB40" s="163">
        <v>14</v>
      </c>
      <c r="BC40" s="118">
        <f t="shared" si="58"/>
        <v>21</v>
      </c>
      <c r="BD40" s="118">
        <f t="shared" si="57"/>
        <v>151.20000000000002</v>
      </c>
      <c r="BE40" s="118">
        <v>14.5</v>
      </c>
      <c r="BF40" s="118">
        <f t="shared" si="59"/>
        <v>104.4</v>
      </c>
      <c r="BG40" s="183"/>
      <c r="BH40" s="163"/>
      <c r="BI40" s="167"/>
      <c r="BJ40" s="167"/>
      <c r="BK40" s="167"/>
      <c r="BL40" s="167"/>
      <c r="BN40" s="5">
        <f t="shared" si="64"/>
        <v>1.9765786622748684</v>
      </c>
      <c r="BO40" s="5">
        <f t="shared" si="65"/>
        <v>0</v>
      </c>
      <c r="BP40" s="5">
        <f t="shared" si="66"/>
        <v>0</v>
      </c>
      <c r="BQ40" s="5">
        <f t="shared" si="67"/>
        <v>0</v>
      </c>
      <c r="BR40" s="5">
        <f t="shared" si="68"/>
        <v>0</v>
      </c>
      <c r="BS40" s="163">
        <f t="shared" si="69"/>
        <v>0</v>
      </c>
      <c r="BT40" s="163">
        <f t="shared" si="70"/>
        <v>0</v>
      </c>
      <c r="BU40" s="163">
        <f t="shared" si="71"/>
        <v>0</v>
      </c>
      <c r="BV40" s="163">
        <f t="shared" si="72"/>
        <v>0</v>
      </c>
      <c r="BW40" s="163">
        <f t="shared" si="73"/>
        <v>0</v>
      </c>
      <c r="BX40" s="163">
        <f t="shared" si="74"/>
        <v>1</v>
      </c>
      <c r="BY40" s="163">
        <f t="shared" si="75"/>
        <v>0</v>
      </c>
      <c r="BZ40" s="163">
        <f t="shared" si="76"/>
        <v>0</v>
      </c>
      <c r="CA40" s="163">
        <f t="shared" si="77"/>
        <v>0</v>
      </c>
      <c r="CB40" s="163">
        <f t="shared" si="78"/>
        <v>0</v>
      </c>
      <c r="CC40" s="163">
        <f t="shared" si="34"/>
        <v>1</v>
      </c>
      <c r="CD40" s="163">
        <f t="shared" si="35"/>
        <v>0</v>
      </c>
      <c r="CE40" s="163">
        <f t="shared" si="36"/>
        <v>0</v>
      </c>
      <c r="CF40" s="163">
        <f t="shared" si="37"/>
        <v>0</v>
      </c>
      <c r="CG40" s="163">
        <f t="shared" si="38"/>
        <v>0</v>
      </c>
      <c r="CI40" s="167">
        <v>2.0499999999999998</v>
      </c>
      <c r="CJ40" s="167">
        <v>2.7</v>
      </c>
      <c r="CK40" s="5">
        <f t="shared" si="56"/>
        <v>5.2250000000000005</v>
      </c>
      <c r="CL40" s="5">
        <f t="shared" si="39"/>
        <v>1.7</v>
      </c>
      <c r="CM40" s="5" t="str">
        <f t="shared" si="40"/>
        <v/>
      </c>
      <c r="CN40" s="5" t="str">
        <f t="shared" si="41"/>
        <v/>
      </c>
      <c r="CO40" s="5" t="str">
        <f t="shared" si="42"/>
        <v/>
      </c>
      <c r="CP40" s="5">
        <f t="shared" si="54"/>
        <v>1.4662499999999998</v>
      </c>
      <c r="CQ40" s="5" t="str">
        <f t="shared" si="43"/>
        <v/>
      </c>
      <c r="CR40" s="5" t="str">
        <f t="shared" si="44"/>
        <v/>
      </c>
      <c r="CS40" s="5" t="str">
        <f t="shared" si="45"/>
        <v/>
      </c>
      <c r="CT40" s="50">
        <f t="shared" si="46"/>
        <v>1</v>
      </c>
      <c r="CU40" s="50">
        <f t="shared" si="47"/>
        <v>0</v>
      </c>
      <c r="CV40" s="50">
        <f t="shared" si="48"/>
        <v>0</v>
      </c>
      <c r="CW40" s="50">
        <f t="shared" si="49"/>
        <v>0</v>
      </c>
      <c r="CX40" s="190">
        <f t="shared" si="55"/>
        <v>1</v>
      </c>
      <c r="CZ40" s="1">
        <v>1.95</v>
      </c>
      <c r="DA40" s="167">
        <f t="shared" si="50"/>
        <v>1.7</v>
      </c>
      <c r="DB40" s="1">
        <f>Alcantarillas!AX45</f>
        <v>11.35</v>
      </c>
      <c r="DC40" s="5">
        <f t="shared" si="51"/>
        <v>37.625250000000001</v>
      </c>
      <c r="DE40" s="172">
        <f t="shared" si="52"/>
        <v>546</v>
      </c>
      <c r="DF40" s="172">
        <f t="shared" si="53"/>
        <v>0</v>
      </c>
    </row>
    <row r="41" spans="2:110" x14ac:dyDescent="0.25">
      <c r="G41" t="s">
        <v>380</v>
      </c>
      <c r="N41">
        <v>36</v>
      </c>
      <c r="O41" s="24">
        <f>Alcantarillas!E46</f>
        <v>10665</v>
      </c>
      <c r="P41" s="160">
        <f>IF(Alcantarillas!J46=1.2,1,0)</f>
        <v>1</v>
      </c>
      <c r="Q41" s="160">
        <f>IF(Alcantarillas!J46=1.3,1,0)</f>
        <v>0</v>
      </c>
      <c r="R41" s="160">
        <f>IF(Alcantarillas!J46=1.4,1,0)</f>
        <v>0</v>
      </c>
      <c r="S41" s="160">
        <f>IF(Alcantarillas!L46=1.2,1,0)</f>
        <v>0</v>
      </c>
      <c r="T41" s="160">
        <f>IF(Alcantarillas!L46=1.5,1,0)</f>
        <v>0</v>
      </c>
      <c r="V41" s="160">
        <f>IF(Alcantarillas!J46=1.2,Alcantarillas!AX46,0)</f>
        <v>13.25</v>
      </c>
      <c r="W41" s="160">
        <f>IF(Alcantarillas!J46=1.3,Alcantarillas!AX46,0)</f>
        <v>0</v>
      </c>
      <c r="X41" s="160">
        <f>IF(Alcantarillas!J46=1.4,Alcantarillas!AX46,0)</f>
        <v>0</v>
      </c>
      <c r="Y41" s="160">
        <f>IF(Alcantarillas!L46=1.2,Alcantarillas!AX46,0)</f>
        <v>0</v>
      </c>
      <c r="Z41" s="160">
        <f>IF(Alcantarillas!L46=1.5,Alcantarillas!AX46,0)</f>
        <v>0</v>
      </c>
      <c r="AB41" s="21"/>
      <c r="AC41" s="5">
        <f t="shared" si="16"/>
        <v>2.2000000000000002</v>
      </c>
      <c r="AD41" s="21"/>
      <c r="AE41" s="5">
        <f t="shared" si="17"/>
        <v>1.1309733552923256</v>
      </c>
      <c r="AF41" s="5">
        <f t="shared" si="61"/>
        <v>0</v>
      </c>
      <c r="AG41" s="21"/>
      <c r="AH41" s="5">
        <f t="shared" si="19"/>
        <v>0</v>
      </c>
      <c r="AI41" s="5">
        <f t="shared" si="20"/>
        <v>0</v>
      </c>
      <c r="AJ41" s="5">
        <f t="shared" si="21"/>
        <v>5.2</v>
      </c>
      <c r="AK41" s="5">
        <f t="shared" si="22"/>
        <v>5.5500000000000007</v>
      </c>
      <c r="AL41" s="5">
        <f t="shared" si="23"/>
        <v>0</v>
      </c>
      <c r="AM41" s="5">
        <f t="shared" si="24"/>
        <v>0</v>
      </c>
      <c r="AO41" s="21">
        <v>1.43</v>
      </c>
      <c r="AP41" s="5">
        <f t="shared" si="25"/>
        <v>2.2000000000000002</v>
      </c>
      <c r="AQ41" s="21">
        <v>0.2</v>
      </c>
      <c r="AR41" s="5">
        <f t="shared" si="26"/>
        <v>1.1309733552923256</v>
      </c>
      <c r="AS41" s="5">
        <f t="shared" si="60"/>
        <v>0.82980532894153503</v>
      </c>
      <c r="AT41" s="21">
        <v>2.12</v>
      </c>
      <c r="AU41" s="5">
        <f t="shared" si="28"/>
        <v>1.5334666666666668</v>
      </c>
      <c r="AV41" s="5">
        <f t="shared" si="29"/>
        <v>0.30669333333333337</v>
      </c>
      <c r="AW41" s="5">
        <f t="shared" si="30"/>
        <v>5.2</v>
      </c>
      <c r="AX41" s="5">
        <f t="shared" si="31"/>
        <v>5.5500000000000007</v>
      </c>
      <c r="AY41" s="5">
        <f t="shared" si="32"/>
        <v>1.1100000000000001</v>
      </c>
      <c r="AZ41" s="5">
        <f t="shared" si="33"/>
        <v>2.2464986622748686</v>
      </c>
      <c r="BB41" s="163"/>
      <c r="BC41" s="118"/>
      <c r="BD41" s="118"/>
      <c r="BE41" s="118"/>
      <c r="BF41" s="118"/>
      <c r="BG41" s="183"/>
      <c r="BH41" s="163"/>
      <c r="BI41" s="167"/>
      <c r="BJ41" s="167"/>
      <c r="BK41" s="167"/>
      <c r="BL41" s="167"/>
      <c r="BN41" s="5">
        <f t="shared" si="64"/>
        <v>2.2464986622748686</v>
      </c>
      <c r="BO41" s="5">
        <f t="shared" si="65"/>
        <v>0</v>
      </c>
      <c r="BP41" s="5">
        <f t="shared" si="66"/>
        <v>0</v>
      </c>
      <c r="BQ41" s="5">
        <f t="shared" si="67"/>
        <v>0</v>
      </c>
      <c r="BR41" s="5">
        <f t="shared" si="68"/>
        <v>0</v>
      </c>
      <c r="BS41" s="163">
        <f t="shared" si="69"/>
        <v>0</v>
      </c>
      <c r="BT41" s="163">
        <f t="shared" si="70"/>
        <v>0</v>
      </c>
      <c r="BU41" s="163">
        <f t="shared" si="71"/>
        <v>0</v>
      </c>
      <c r="BV41" s="163">
        <f t="shared" si="72"/>
        <v>0</v>
      </c>
      <c r="BW41" s="163">
        <f t="shared" si="73"/>
        <v>0</v>
      </c>
      <c r="BX41" s="163">
        <f t="shared" si="74"/>
        <v>1</v>
      </c>
      <c r="BY41" s="163">
        <f t="shared" si="75"/>
        <v>0</v>
      </c>
      <c r="BZ41" s="163">
        <f t="shared" si="76"/>
        <v>0</v>
      </c>
      <c r="CA41" s="163">
        <f t="shared" si="77"/>
        <v>0</v>
      </c>
      <c r="CB41" s="163">
        <f t="shared" si="78"/>
        <v>0</v>
      </c>
      <c r="CC41" s="163">
        <f t="shared" si="34"/>
        <v>1</v>
      </c>
      <c r="CD41" s="163">
        <f t="shared" si="35"/>
        <v>0</v>
      </c>
      <c r="CE41" s="163">
        <f t="shared" si="36"/>
        <v>0</v>
      </c>
      <c r="CF41" s="163">
        <f t="shared" si="37"/>
        <v>0</v>
      </c>
      <c r="CG41" s="163">
        <f t="shared" si="38"/>
        <v>0</v>
      </c>
      <c r="CI41" s="167">
        <v>2.0499999999999998</v>
      </c>
      <c r="CJ41" s="167">
        <v>3.2</v>
      </c>
      <c r="CK41" s="5">
        <f t="shared" si="56"/>
        <v>5.7750000000000004</v>
      </c>
      <c r="CL41" s="5">
        <f t="shared" si="39"/>
        <v>1.7</v>
      </c>
      <c r="CM41" s="5" t="str">
        <f t="shared" si="40"/>
        <v/>
      </c>
      <c r="CN41" s="5" t="str">
        <f t="shared" si="41"/>
        <v/>
      </c>
      <c r="CO41" s="5" t="str">
        <f t="shared" si="42"/>
        <v/>
      </c>
      <c r="CP41" s="5">
        <f t="shared" si="54"/>
        <v>1.59375</v>
      </c>
      <c r="CQ41" s="5" t="str">
        <f t="shared" si="43"/>
        <v/>
      </c>
      <c r="CR41" s="5" t="str">
        <f t="shared" si="44"/>
        <v/>
      </c>
      <c r="CS41" s="5" t="str">
        <f t="shared" si="45"/>
        <v/>
      </c>
      <c r="CT41" s="50">
        <f t="shared" si="46"/>
        <v>1</v>
      </c>
      <c r="CU41" s="50">
        <f t="shared" si="47"/>
        <v>0</v>
      </c>
      <c r="CV41" s="50">
        <f t="shared" si="48"/>
        <v>0</v>
      </c>
      <c r="CW41" s="50">
        <f t="shared" si="49"/>
        <v>0</v>
      </c>
      <c r="CX41" s="190">
        <f t="shared" si="55"/>
        <v>1</v>
      </c>
      <c r="CZ41" s="1">
        <v>1.95</v>
      </c>
      <c r="DA41" s="167">
        <f t="shared" si="50"/>
        <v>1.7</v>
      </c>
      <c r="DB41" s="1">
        <f>Alcantarillas!AX46</f>
        <v>13.25</v>
      </c>
      <c r="DC41" s="5">
        <f t="shared" si="51"/>
        <v>43.923749999999998</v>
      </c>
      <c r="DE41" s="172">
        <f t="shared" si="52"/>
        <v>0</v>
      </c>
      <c r="DF41" s="172">
        <f t="shared" si="53"/>
        <v>0</v>
      </c>
    </row>
    <row r="42" spans="2:110" x14ac:dyDescent="0.25">
      <c r="N42">
        <v>37</v>
      </c>
      <c r="O42" s="24">
        <f>Alcantarillas!E47</f>
        <v>10985.5</v>
      </c>
      <c r="P42" s="160">
        <f>IF(Alcantarillas!J47=1.2,1,0)</f>
        <v>1</v>
      </c>
      <c r="Q42" s="160">
        <f>IF(Alcantarillas!J47=1.3,1,0)</f>
        <v>0</v>
      </c>
      <c r="R42" s="160">
        <f>IF(Alcantarillas!J47=1.4,1,0)</f>
        <v>0</v>
      </c>
      <c r="S42" s="160">
        <f>IF(Alcantarillas!L47=1.2,1,0)</f>
        <v>0</v>
      </c>
      <c r="T42" s="160">
        <f>IF(Alcantarillas!L47=1.5,1,0)</f>
        <v>0</v>
      </c>
      <c r="V42" s="160">
        <f>IF(Alcantarillas!J47=1.2,Alcantarillas!AX47,0)</f>
        <v>10.65</v>
      </c>
      <c r="W42" s="160">
        <f>IF(Alcantarillas!J47=1.3,Alcantarillas!AX47,0)</f>
        <v>0</v>
      </c>
      <c r="X42" s="160">
        <f>IF(Alcantarillas!J47=1.4,Alcantarillas!AX47,0)</f>
        <v>0</v>
      </c>
      <c r="Y42" s="160">
        <f>IF(Alcantarillas!L47=1.2,Alcantarillas!AX47,0)</f>
        <v>0</v>
      </c>
      <c r="Z42" s="160">
        <f>IF(Alcantarillas!L47=1.5,Alcantarillas!AX47,0)</f>
        <v>0</v>
      </c>
      <c r="AB42" s="21"/>
      <c r="AC42" s="5">
        <f t="shared" si="16"/>
        <v>2.2000000000000002</v>
      </c>
      <c r="AD42" s="21"/>
      <c r="AE42" s="5">
        <f t="shared" si="17"/>
        <v>1.1309733552923256</v>
      </c>
      <c r="AF42" s="5">
        <f t="shared" si="61"/>
        <v>0</v>
      </c>
      <c r="AG42" s="21"/>
      <c r="AH42" s="5">
        <f t="shared" si="19"/>
        <v>0</v>
      </c>
      <c r="AI42" s="5">
        <f t="shared" si="20"/>
        <v>0</v>
      </c>
      <c r="AJ42" s="5">
        <f t="shared" si="21"/>
        <v>5.2</v>
      </c>
      <c r="AK42" s="5">
        <f t="shared" si="22"/>
        <v>5.5500000000000007</v>
      </c>
      <c r="AL42" s="5">
        <f t="shared" si="23"/>
        <v>0</v>
      </c>
      <c r="AM42" s="5">
        <f t="shared" si="24"/>
        <v>0</v>
      </c>
      <c r="AO42" s="21">
        <v>2.4</v>
      </c>
      <c r="AP42" s="5">
        <f t="shared" si="25"/>
        <v>2.2000000000000002</v>
      </c>
      <c r="AQ42" s="21">
        <v>0.2</v>
      </c>
      <c r="AR42" s="5">
        <f t="shared" si="26"/>
        <v>1.1309733552923256</v>
      </c>
      <c r="AS42" s="5">
        <f t="shared" si="60"/>
        <v>0.4338053289415349</v>
      </c>
      <c r="AT42" s="21">
        <v>2.12</v>
      </c>
      <c r="AU42" s="5">
        <f t="shared" si="28"/>
        <v>3.5898666666666665</v>
      </c>
      <c r="AV42" s="5">
        <f t="shared" si="29"/>
        <v>0.71797333333333335</v>
      </c>
      <c r="AW42" s="5">
        <f t="shared" si="30"/>
        <v>5.2</v>
      </c>
      <c r="AX42" s="5">
        <f t="shared" si="31"/>
        <v>5.5500000000000007</v>
      </c>
      <c r="AY42" s="5">
        <f t="shared" si="32"/>
        <v>1.1100000000000001</v>
      </c>
      <c r="AZ42" s="5">
        <f t="shared" si="33"/>
        <v>2.2617786622748683</v>
      </c>
      <c r="BB42" s="163"/>
      <c r="BC42" s="118"/>
      <c r="BD42" s="118"/>
      <c r="BE42" s="118"/>
      <c r="BF42" s="118"/>
      <c r="BG42" s="183"/>
      <c r="BH42" s="163"/>
      <c r="BI42" s="167"/>
      <c r="BJ42" s="167"/>
      <c r="BK42" s="167"/>
      <c r="BL42" s="167"/>
      <c r="BN42" s="5">
        <f t="shared" si="64"/>
        <v>2.2617786622748683</v>
      </c>
      <c r="BO42" s="5">
        <f t="shared" si="65"/>
        <v>0</v>
      </c>
      <c r="BP42" s="5">
        <f t="shared" si="66"/>
        <v>0</v>
      </c>
      <c r="BQ42" s="5">
        <f t="shared" si="67"/>
        <v>0</v>
      </c>
      <c r="BR42" s="5">
        <f t="shared" si="68"/>
        <v>0</v>
      </c>
      <c r="BS42" s="163">
        <f t="shared" si="69"/>
        <v>0</v>
      </c>
      <c r="BT42" s="163">
        <f t="shared" si="70"/>
        <v>0</v>
      </c>
      <c r="BU42" s="163">
        <f t="shared" si="71"/>
        <v>0</v>
      </c>
      <c r="BV42" s="163">
        <f t="shared" si="72"/>
        <v>0</v>
      </c>
      <c r="BW42" s="163">
        <f t="shared" si="73"/>
        <v>0</v>
      </c>
      <c r="BX42" s="163">
        <f t="shared" si="74"/>
        <v>1</v>
      </c>
      <c r="BY42" s="163">
        <f t="shared" si="75"/>
        <v>0</v>
      </c>
      <c r="BZ42" s="163">
        <f t="shared" si="76"/>
        <v>0</v>
      </c>
      <c r="CA42" s="163">
        <f t="shared" si="77"/>
        <v>0</v>
      </c>
      <c r="CB42" s="163">
        <f t="shared" si="78"/>
        <v>0</v>
      </c>
      <c r="CC42" s="163">
        <f t="shared" si="34"/>
        <v>1</v>
      </c>
      <c r="CD42" s="163">
        <f t="shared" si="35"/>
        <v>0</v>
      </c>
      <c r="CE42" s="163">
        <f t="shared" si="36"/>
        <v>0</v>
      </c>
      <c r="CF42" s="163">
        <f t="shared" si="37"/>
        <v>0</v>
      </c>
      <c r="CG42" s="163">
        <f t="shared" si="38"/>
        <v>0</v>
      </c>
      <c r="CI42" s="167">
        <v>2</v>
      </c>
      <c r="CJ42" s="167">
        <v>3.6</v>
      </c>
      <c r="CK42" s="5">
        <f t="shared" si="56"/>
        <v>6.16</v>
      </c>
      <c r="CL42" s="5">
        <f t="shared" si="39"/>
        <v>1.7</v>
      </c>
      <c r="CM42" s="5" t="str">
        <f t="shared" si="40"/>
        <v/>
      </c>
      <c r="CN42" s="5" t="str">
        <f t="shared" si="41"/>
        <v/>
      </c>
      <c r="CO42" s="5" t="str">
        <f t="shared" si="42"/>
        <v/>
      </c>
      <c r="CP42" s="5">
        <f t="shared" si="54"/>
        <v>1.6829999999999998</v>
      </c>
      <c r="CQ42" s="5" t="str">
        <f t="shared" si="43"/>
        <v/>
      </c>
      <c r="CR42" s="5" t="str">
        <f t="shared" si="44"/>
        <v/>
      </c>
      <c r="CS42" s="5" t="str">
        <f t="shared" si="45"/>
        <v/>
      </c>
      <c r="CT42" s="50">
        <f t="shared" si="46"/>
        <v>1</v>
      </c>
      <c r="CU42" s="50">
        <f t="shared" si="47"/>
        <v>0</v>
      </c>
      <c r="CV42" s="50">
        <f t="shared" si="48"/>
        <v>0</v>
      </c>
      <c r="CW42" s="50">
        <f t="shared" si="49"/>
        <v>0</v>
      </c>
      <c r="CX42" s="190">
        <f t="shared" si="55"/>
        <v>1</v>
      </c>
      <c r="CZ42" s="1">
        <v>1.95</v>
      </c>
      <c r="DA42" s="167">
        <f t="shared" si="50"/>
        <v>1.7</v>
      </c>
      <c r="DB42" s="1">
        <f>Alcantarillas!AX47</f>
        <v>10.65</v>
      </c>
      <c r="DC42" s="5">
        <f t="shared" si="51"/>
        <v>35.304749999999999</v>
      </c>
      <c r="DE42" s="172">
        <f t="shared" si="52"/>
        <v>0</v>
      </c>
      <c r="DF42" s="172">
        <f t="shared" si="53"/>
        <v>0</v>
      </c>
    </row>
    <row r="43" spans="2:110" x14ac:dyDescent="0.25">
      <c r="C43" s="19" t="s">
        <v>362</v>
      </c>
      <c r="N43">
        <v>38</v>
      </c>
      <c r="O43" s="24">
        <f>Alcantarillas!E48</f>
        <v>11095</v>
      </c>
      <c r="P43" s="160">
        <f>IF(Alcantarillas!J48=1.2,1,0)</f>
        <v>1</v>
      </c>
      <c r="Q43" s="160">
        <f>IF(Alcantarillas!J48=1.3,1,0)</f>
        <v>0</v>
      </c>
      <c r="R43" s="160">
        <f>IF(Alcantarillas!J48=1.4,1,0)</f>
        <v>0</v>
      </c>
      <c r="S43" s="160">
        <f>IF(Alcantarillas!L48=1.2,1,0)</f>
        <v>0</v>
      </c>
      <c r="T43" s="160">
        <f>IF(Alcantarillas!L48=1.5,1,0)</f>
        <v>0</v>
      </c>
      <c r="V43" s="160">
        <f>IF(Alcantarillas!J48=1.2,Alcantarillas!AX48,0)</f>
        <v>11.9</v>
      </c>
      <c r="W43" s="160">
        <f>IF(Alcantarillas!J48=1.3,Alcantarillas!AX48,0)</f>
        <v>0</v>
      </c>
      <c r="X43" s="160">
        <f>IF(Alcantarillas!J48=1.4,Alcantarillas!AX48,0)</f>
        <v>0</v>
      </c>
      <c r="Y43" s="160">
        <f>IF(Alcantarillas!L48=1.2,Alcantarillas!AX48,0)</f>
        <v>0</v>
      </c>
      <c r="Z43" s="160">
        <f>IF(Alcantarillas!L48=1.5,Alcantarillas!AX48,0)</f>
        <v>0</v>
      </c>
      <c r="AB43" s="21"/>
      <c r="AC43" s="5">
        <f t="shared" si="16"/>
        <v>2.2000000000000002</v>
      </c>
      <c r="AD43" s="21"/>
      <c r="AE43" s="5">
        <f t="shared" si="17"/>
        <v>1.1309733552923256</v>
      </c>
      <c r="AF43" s="5">
        <f t="shared" si="61"/>
        <v>0</v>
      </c>
      <c r="AG43" s="21"/>
      <c r="AH43" s="5">
        <f t="shared" si="19"/>
        <v>0</v>
      </c>
      <c r="AI43" s="5">
        <f t="shared" si="20"/>
        <v>0</v>
      </c>
      <c r="AJ43" s="5">
        <f t="shared" si="21"/>
        <v>5.2</v>
      </c>
      <c r="AK43" s="5">
        <f t="shared" si="22"/>
        <v>5.5500000000000007</v>
      </c>
      <c r="AL43" s="5">
        <f t="shared" si="23"/>
        <v>0</v>
      </c>
      <c r="AM43" s="5">
        <f t="shared" si="24"/>
        <v>0</v>
      </c>
      <c r="AO43" s="21">
        <v>1.5</v>
      </c>
      <c r="AP43" s="5">
        <f t="shared" si="25"/>
        <v>2.2000000000000002</v>
      </c>
      <c r="AQ43" s="21">
        <v>0.2</v>
      </c>
      <c r="AR43" s="5">
        <f t="shared" si="26"/>
        <v>1.1309733552923256</v>
      </c>
      <c r="AS43" s="5">
        <f t="shared" si="60"/>
        <v>1.049805328941535</v>
      </c>
      <c r="AT43" s="21">
        <v>2.12</v>
      </c>
      <c r="AU43" s="5">
        <f t="shared" si="28"/>
        <v>1.6818666666666668</v>
      </c>
      <c r="AV43" s="5">
        <f t="shared" si="29"/>
        <v>0.33637333333333341</v>
      </c>
      <c r="AW43" s="5">
        <f t="shared" si="30"/>
        <v>5.2</v>
      </c>
      <c r="AX43" s="5">
        <f t="shared" si="31"/>
        <v>5.5500000000000007</v>
      </c>
      <c r="AY43" s="5">
        <f t="shared" si="32"/>
        <v>1.1100000000000001</v>
      </c>
      <c r="AZ43" s="5">
        <f t="shared" si="33"/>
        <v>2.4961786622748683</v>
      </c>
      <c r="BB43" s="163"/>
      <c r="BC43" s="118"/>
      <c r="BD43" s="118"/>
      <c r="BE43" s="118"/>
      <c r="BF43" s="118"/>
      <c r="BG43" s="183"/>
      <c r="BH43" s="163"/>
      <c r="BI43" s="167"/>
      <c r="BJ43" s="167"/>
      <c r="BK43" s="167"/>
      <c r="BL43" s="167"/>
      <c r="BN43" s="5">
        <f t="shared" si="64"/>
        <v>2.4961786622748683</v>
      </c>
      <c r="BO43" s="5">
        <f t="shared" si="65"/>
        <v>0</v>
      </c>
      <c r="BP43" s="5">
        <f t="shared" si="66"/>
        <v>0</v>
      </c>
      <c r="BQ43" s="5">
        <f t="shared" si="67"/>
        <v>0</v>
      </c>
      <c r="BR43" s="5">
        <f t="shared" si="68"/>
        <v>0</v>
      </c>
      <c r="BS43" s="163">
        <f t="shared" si="69"/>
        <v>0</v>
      </c>
      <c r="BT43" s="163">
        <f t="shared" si="70"/>
        <v>0</v>
      </c>
      <c r="BU43" s="163">
        <f t="shared" si="71"/>
        <v>0</v>
      </c>
      <c r="BV43" s="163">
        <f t="shared" si="72"/>
        <v>0</v>
      </c>
      <c r="BW43" s="163">
        <f t="shared" si="73"/>
        <v>0</v>
      </c>
      <c r="BX43" s="163">
        <f t="shared" si="74"/>
        <v>1</v>
      </c>
      <c r="BY43" s="163">
        <f t="shared" si="75"/>
        <v>0</v>
      </c>
      <c r="BZ43" s="163">
        <f t="shared" si="76"/>
        <v>0</v>
      </c>
      <c r="CA43" s="163">
        <f t="shared" si="77"/>
        <v>0</v>
      </c>
      <c r="CB43" s="163">
        <f t="shared" si="78"/>
        <v>0</v>
      </c>
      <c r="CC43" s="163">
        <f t="shared" si="34"/>
        <v>1</v>
      </c>
      <c r="CD43" s="163">
        <f t="shared" si="35"/>
        <v>0</v>
      </c>
      <c r="CE43" s="163">
        <f t="shared" si="36"/>
        <v>0</v>
      </c>
      <c r="CF43" s="163">
        <f t="shared" si="37"/>
        <v>0</v>
      </c>
      <c r="CG43" s="163">
        <f t="shared" si="38"/>
        <v>0</v>
      </c>
      <c r="CI43" s="167">
        <v>3.5</v>
      </c>
      <c r="CJ43" s="167">
        <v>1.9</v>
      </c>
      <c r="CK43" s="5">
        <f t="shared" si="56"/>
        <v>5.9400000000000013</v>
      </c>
      <c r="CL43" s="5">
        <f t="shared" si="39"/>
        <v>1.7</v>
      </c>
      <c r="CM43" s="5" t="str">
        <f t="shared" si="40"/>
        <v/>
      </c>
      <c r="CN43" s="5" t="str">
        <f t="shared" si="41"/>
        <v/>
      </c>
      <c r="CO43" s="5" t="str">
        <f t="shared" si="42"/>
        <v/>
      </c>
      <c r="CP43" s="5">
        <f t="shared" si="54"/>
        <v>1.6319999999999999</v>
      </c>
      <c r="CQ43" s="5" t="str">
        <f t="shared" si="43"/>
        <v/>
      </c>
      <c r="CR43" s="5" t="str">
        <f t="shared" si="44"/>
        <v/>
      </c>
      <c r="CS43" s="5" t="str">
        <f t="shared" si="45"/>
        <v/>
      </c>
      <c r="CT43" s="50">
        <f t="shared" si="46"/>
        <v>1</v>
      </c>
      <c r="CU43" s="50">
        <f t="shared" si="47"/>
        <v>0</v>
      </c>
      <c r="CV43" s="50">
        <f t="shared" si="48"/>
        <v>0</v>
      </c>
      <c r="CW43" s="50">
        <f t="shared" si="49"/>
        <v>0</v>
      </c>
      <c r="CX43" s="190">
        <f t="shared" si="55"/>
        <v>1</v>
      </c>
      <c r="CZ43" s="1">
        <v>2</v>
      </c>
      <c r="DA43" s="167">
        <f t="shared" si="50"/>
        <v>1.7</v>
      </c>
      <c r="DB43" s="1">
        <f>Alcantarillas!AX48</f>
        <v>11.9</v>
      </c>
      <c r="DC43" s="5">
        <f t="shared" si="51"/>
        <v>40.46</v>
      </c>
      <c r="DE43" s="172">
        <f t="shared" si="52"/>
        <v>0</v>
      </c>
      <c r="DF43" s="172">
        <f t="shared" si="53"/>
        <v>0</v>
      </c>
    </row>
    <row r="44" spans="2:110" x14ac:dyDescent="0.25">
      <c r="N44">
        <v>39</v>
      </c>
      <c r="O44" s="24">
        <f>Alcantarillas!E49</f>
        <v>11531.2</v>
      </c>
      <c r="P44" s="160">
        <f>IF(Alcantarillas!J49=1.2,1,0)</f>
        <v>1</v>
      </c>
      <c r="Q44" s="160">
        <f>IF(Alcantarillas!J49=1.3,1,0)</f>
        <v>0</v>
      </c>
      <c r="R44" s="160">
        <f>IF(Alcantarillas!J49=1.4,1,0)</f>
        <v>0</v>
      </c>
      <c r="S44" s="160">
        <f>IF(Alcantarillas!L49=1.2,1,0)</f>
        <v>0</v>
      </c>
      <c r="T44" s="160">
        <f>IF(Alcantarillas!L49=1.5,1,0)</f>
        <v>0</v>
      </c>
      <c r="V44" s="160">
        <f>IF(Alcantarillas!J49=1.2,Alcantarillas!AX49,0)</f>
        <v>12.95</v>
      </c>
      <c r="W44" s="160">
        <f>IF(Alcantarillas!J49=1.3,Alcantarillas!AX49,0)</f>
        <v>0</v>
      </c>
      <c r="X44" s="160">
        <f>IF(Alcantarillas!J49=1.4,Alcantarillas!AX49,0)</f>
        <v>0</v>
      </c>
      <c r="Y44" s="160">
        <f>IF(Alcantarillas!L49=1.2,Alcantarillas!AX49,0)</f>
        <v>0</v>
      </c>
      <c r="Z44" s="160">
        <f>IF(Alcantarillas!L49=1.5,Alcantarillas!AX49,0)</f>
        <v>0</v>
      </c>
      <c r="AB44" s="21"/>
      <c r="AC44" s="5">
        <f t="shared" si="16"/>
        <v>2.2000000000000002</v>
      </c>
      <c r="AD44" s="21"/>
      <c r="AE44" s="5">
        <f t="shared" si="17"/>
        <v>1.1309733552923256</v>
      </c>
      <c r="AF44" s="5">
        <f t="shared" si="61"/>
        <v>0</v>
      </c>
      <c r="AG44" s="21"/>
      <c r="AH44" s="5">
        <f t="shared" si="19"/>
        <v>0</v>
      </c>
      <c r="AI44" s="5">
        <f t="shared" si="20"/>
        <v>0</v>
      </c>
      <c r="AJ44" s="5">
        <f t="shared" si="21"/>
        <v>5.2</v>
      </c>
      <c r="AK44" s="5">
        <f t="shared" si="22"/>
        <v>5.5500000000000007</v>
      </c>
      <c r="AL44" s="5">
        <f t="shared" si="23"/>
        <v>0</v>
      </c>
      <c r="AM44" s="5">
        <f t="shared" si="24"/>
        <v>0</v>
      </c>
      <c r="AO44" s="21">
        <v>2.9</v>
      </c>
      <c r="AP44" s="5">
        <f t="shared" si="25"/>
        <v>2.2000000000000002</v>
      </c>
      <c r="AQ44" s="21">
        <v>0.2</v>
      </c>
      <c r="AR44" s="5">
        <f t="shared" si="26"/>
        <v>1.1309733552923256</v>
      </c>
      <c r="AS44" s="5">
        <f t="shared" si="60"/>
        <v>0.4338053289415349</v>
      </c>
      <c r="AT44" s="21">
        <v>2.12</v>
      </c>
      <c r="AU44" s="5">
        <f t="shared" si="28"/>
        <v>4.6498666666666661</v>
      </c>
      <c r="AV44" s="5">
        <f t="shared" si="29"/>
        <v>0.92997333333333332</v>
      </c>
      <c r="AW44" s="5">
        <f t="shared" si="30"/>
        <v>5.2</v>
      </c>
      <c r="AX44" s="5">
        <f t="shared" si="31"/>
        <v>5.5500000000000007</v>
      </c>
      <c r="AY44" s="5">
        <f t="shared" si="32"/>
        <v>1.1100000000000001</v>
      </c>
      <c r="AZ44" s="5">
        <f t="shared" si="33"/>
        <v>2.4737786622748681</v>
      </c>
      <c r="BB44" s="163"/>
      <c r="BC44" s="118"/>
      <c r="BD44" s="118"/>
      <c r="BE44" s="118"/>
      <c r="BF44" s="118"/>
      <c r="BG44" s="183"/>
      <c r="BH44" s="163"/>
      <c r="BI44" s="167"/>
      <c r="BJ44" s="167"/>
      <c r="BK44" s="167"/>
      <c r="BL44" s="167"/>
      <c r="BN44" s="5">
        <f t="shared" si="64"/>
        <v>2.4737786622748681</v>
      </c>
      <c r="BO44" s="5">
        <f t="shared" si="65"/>
        <v>0</v>
      </c>
      <c r="BP44" s="5">
        <f t="shared" si="66"/>
        <v>0</v>
      </c>
      <c r="BQ44" s="5">
        <f t="shared" si="67"/>
        <v>0</v>
      </c>
      <c r="BR44" s="5">
        <f t="shared" si="68"/>
        <v>0</v>
      </c>
      <c r="BS44" s="163">
        <f t="shared" si="69"/>
        <v>0</v>
      </c>
      <c r="BT44" s="163">
        <f t="shared" si="70"/>
        <v>0</v>
      </c>
      <c r="BU44" s="163">
        <f t="shared" si="71"/>
        <v>0</v>
      </c>
      <c r="BV44" s="163">
        <f t="shared" si="72"/>
        <v>0</v>
      </c>
      <c r="BW44" s="163">
        <f t="shared" si="73"/>
        <v>0</v>
      </c>
      <c r="BX44" s="163">
        <f t="shared" si="74"/>
        <v>1</v>
      </c>
      <c r="BY44" s="163">
        <f t="shared" si="75"/>
        <v>0</v>
      </c>
      <c r="BZ44" s="163">
        <f t="shared" si="76"/>
        <v>0</v>
      </c>
      <c r="CA44" s="163">
        <f t="shared" si="77"/>
        <v>0</v>
      </c>
      <c r="CB44" s="163">
        <f t="shared" si="78"/>
        <v>0</v>
      </c>
      <c r="CC44" s="163">
        <f t="shared" si="34"/>
        <v>1</v>
      </c>
      <c r="CD44" s="163">
        <f t="shared" si="35"/>
        <v>0</v>
      </c>
      <c r="CE44" s="163">
        <f t="shared" si="36"/>
        <v>0</v>
      </c>
      <c r="CF44" s="163">
        <f t="shared" si="37"/>
        <v>0</v>
      </c>
      <c r="CG44" s="163">
        <f t="shared" si="38"/>
        <v>0</v>
      </c>
      <c r="CI44" s="167">
        <v>1.35</v>
      </c>
      <c r="CJ44" s="167">
        <v>1.35</v>
      </c>
      <c r="CK44" s="5">
        <f t="shared" si="56"/>
        <v>2.9700000000000006</v>
      </c>
      <c r="CL44" s="5">
        <f t="shared" si="39"/>
        <v>1.7</v>
      </c>
      <c r="CM44" s="5" t="str">
        <f t="shared" si="40"/>
        <v/>
      </c>
      <c r="CN44" s="5" t="str">
        <f t="shared" si="41"/>
        <v/>
      </c>
      <c r="CO44" s="5" t="str">
        <f t="shared" si="42"/>
        <v/>
      </c>
      <c r="CP44" s="5">
        <f t="shared" si="54"/>
        <v>0.94350000000000001</v>
      </c>
      <c r="CQ44" s="5" t="str">
        <f t="shared" si="43"/>
        <v/>
      </c>
      <c r="CR44" s="5" t="str">
        <f t="shared" si="44"/>
        <v/>
      </c>
      <c r="CS44" s="5" t="str">
        <f t="shared" si="45"/>
        <v/>
      </c>
      <c r="CT44" s="50">
        <f t="shared" si="46"/>
        <v>1</v>
      </c>
      <c r="CU44" s="50">
        <f t="shared" si="47"/>
        <v>0</v>
      </c>
      <c r="CV44" s="50">
        <f t="shared" si="48"/>
        <v>0</v>
      </c>
      <c r="CW44" s="50">
        <f t="shared" si="49"/>
        <v>0</v>
      </c>
      <c r="CX44" s="190">
        <f t="shared" si="55"/>
        <v>1</v>
      </c>
      <c r="CZ44" s="1">
        <v>2.5</v>
      </c>
      <c r="DA44" s="167">
        <f t="shared" si="50"/>
        <v>1.7</v>
      </c>
      <c r="DB44" s="1">
        <f>Alcantarillas!AX49</f>
        <v>12.95</v>
      </c>
      <c r="DC44" s="5">
        <f t="shared" si="51"/>
        <v>55.037499999999994</v>
      </c>
      <c r="DE44" s="172">
        <f t="shared" si="52"/>
        <v>0</v>
      </c>
      <c r="DF44" s="172">
        <f t="shared" si="53"/>
        <v>0</v>
      </c>
    </row>
    <row r="45" spans="2:110" x14ac:dyDescent="0.25">
      <c r="B45" s="245" t="s">
        <v>367</v>
      </c>
      <c r="C45" s="251"/>
      <c r="D45" s="251"/>
      <c r="E45" s="252"/>
      <c r="F45" s="240" t="s">
        <v>43</v>
      </c>
      <c r="G45" s="174" t="s">
        <v>363</v>
      </c>
      <c r="H45" s="174" t="s">
        <v>314</v>
      </c>
      <c r="I45" s="240" t="s">
        <v>324</v>
      </c>
      <c r="N45">
        <v>40</v>
      </c>
      <c r="O45" s="24">
        <f>Alcantarillas!E50</f>
        <v>11621.9</v>
      </c>
      <c r="P45" s="160">
        <f>IF(Alcantarillas!J50=1.2,1,0)</f>
        <v>1</v>
      </c>
      <c r="Q45" s="160">
        <f>IF(Alcantarillas!J50=1.3,1,0)</f>
        <v>0</v>
      </c>
      <c r="R45" s="160">
        <f>IF(Alcantarillas!J50=1.4,1,0)</f>
        <v>0</v>
      </c>
      <c r="S45" s="160">
        <f>IF(Alcantarillas!L50=1.2,1,0)</f>
        <v>0</v>
      </c>
      <c r="T45" s="160">
        <f>IF(Alcantarillas!L50=1.5,1,0)</f>
        <v>0</v>
      </c>
      <c r="V45" s="160">
        <f>IF(Alcantarillas!J50=1.2,Alcantarillas!AX50,0)</f>
        <v>13.5</v>
      </c>
      <c r="W45" s="160">
        <f>IF(Alcantarillas!J50=1.3,Alcantarillas!AX50,0)</f>
        <v>0</v>
      </c>
      <c r="X45" s="160">
        <f>IF(Alcantarillas!J50=1.4,Alcantarillas!AX50,0)</f>
        <v>0</v>
      </c>
      <c r="Y45" s="160">
        <f>IF(Alcantarillas!L50=1.2,Alcantarillas!AX50,0)</f>
        <v>0</v>
      </c>
      <c r="Z45" s="160">
        <f>IF(Alcantarillas!L50=1.5,Alcantarillas!AX50,0)</f>
        <v>0</v>
      </c>
      <c r="AB45" s="21"/>
      <c r="AC45" s="5">
        <f t="shared" si="16"/>
        <v>2.2000000000000002</v>
      </c>
      <c r="AD45" s="21"/>
      <c r="AE45" s="5">
        <f t="shared" si="17"/>
        <v>1.1309733552923256</v>
      </c>
      <c r="AF45" s="5">
        <f t="shared" si="61"/>
        <v>0</v>
      </c>
      <c r="AG45" s="21"/>
      <c r="AH45" s="5">
        <f t="shared" si="19"/>
        <v>0</v>
      </c>
      <c r="AI45" s="5">
        <f t="shared" si="20"/>
        <v>0</v>
      </c>
      <c r="AJ45" s="5">
        <f t="shared" si="21"/>
        <v>5.2</v>
      </c>
      <c r="AK45" s="5">
        <f t="shared" si="22"/>
        <v>5.5500000000000007</v>
      </c>
      <c r="AL45" s="5">
        <f t="shared" si="23"/>
        <v>0</v>
      </c>
      <c r="AM45" s="5">
        <f t="shared" si="24"/>
        <v>0</v>
      </c>
      <c r="AO45" s="21">
        <v>1.5</v>
      </c>
      <c r="AP45" s="5">
        <f t="shared" si="25"/>
        <v>2.2000000000000002</v>
      </c>
      <c r="AQ45" s="21">
        <v>0.2</v>
      </c>
      <c r="AR45" s="5">
        <f t="shared" si="26"/>
        <v>1.1309733552923256</v>
      </c>
      <c r="AS45" s="5">
        <f t="shared" si="60"/>
        <v>0.5658053289415349</v>
      </c>
      <c r="AT45" s="21">
        <v>2.12</v>
      </c>
      <c r="AU45" s="5">
        <f t="shared" si="28"/>
        <v>1.6818666666666668</v>
      </c>
      <c r="AV45" s="5">
        <f t="shared" si="29"/>
        <v>0.33637333333333341</v>
      </c>
      <c r="AW45" s="5">
        <f t="shared" si="30"/>
        <v>5.2</v>
      </c>
      <c r="AX45" s="5">
        <f t="shared" si="31"/>
        <v>5.5500000000000007</v>
      </c>
      <c r="AY45" s="5">
        <f t="shared" si="32"/>
        <v>1.1100000000000001</v>
      </c>
      <c r="AZ45" s="5">
        <f t="shared" si="33"/>
        <v>2.0121786622748683</v>
      </c>
      <c r="BB45" s="163"/>
      <c r="BC45" s="118"/>
      <c r="BD45" s="118"/>
      <c r="BE45" s="118"/>
      <c r="BF45" s="118"/>
      <c r="BG45" s="183"/>
      <c r="BH45" s="163"/>
      <c r="BI45" s="167"/>
      <c r="BJ45" s="167"/>
      <c r="BK45" s="167"/>
      <c r="BL45" s="167"/>
      <c r="BN45" s="5">
        <f t="shared" si="64"/>
        <v>2.0121786622748683</v>
      </c>
      <c r="BO45" s="5">
        <f t="shared" si="65"/>
        <v>0</v>
      </c>
      <c r="BP45" s="5">
        <f t="shared" si="66"/>
        <v>0</v>
      </c>
      <c r="BQ45" s="5">
        <f t="shared" si="67"/>
        <v>0</v>
      </c>
      <c r="BR45" s="5">
        <f t="shared" si="68"/>
        <v>0</v>
      </c>
      <c r="BS45" s="163">
        <f t="shared" si="69"/>
        <v>0</v>
      </c>
      <c r="BT45" s="163">
        <f t="shared" si="70"/>
        <v>0</v>
      </c>
      <c r="BU45" s="163">
        <f t="shared" si="71"/>
        <v>0</v>
      </c>
      <c r="BV45" s="163">
        <f t="shared" si="72"/>
        <v>0</v>
      </c>
      <c r="BW45" s="163">
        <f t="shared" si="73"/>
        <v>0</v>
      </c>
      <c r="BX45" s="163">
        <f t="shared" si="74"/>
        <v>1</v>
      </c>
      <c r="BY45" s="163">
        <f t="shared" si="75"/>
        <v>0</v>
      </c>
      <c r="BZ45" s="163">
        <f t="shared" si="76"/>
        <v>0</v>
      </c>
      <c r="CA45" s="163">
        <f t="shared" si="77"/>
        <v>0</v>
      </c>
      <c r="CB45" s="163">
        <f t="shared" si="78"/>
        <v>0</v>
      </c>
      <c r="CC45" s="163">
        <f t="shared" si="34"/>
        <v>1</v>
      </c>
      <c r="CD45" s="163">
        <f t="shared" si="35"/>
        <v>0</v>
      </c>
      <c r="CE45" s="163">
        <f t="shared" si="36"/>
        <v>0</v>
      </c>
      <c r="CF45" s="163">
        <f t="shared" si="37"/>
        <v>0</v>
      </c>
      <c r="CG45" s="163">
        <f t="shared" si="38"/>
        <v>0</v>
      </c>
      <c r="CI45" s="167">
        <v>4.7</v>
      </c>
      <c r="CJ45" s="167">
        <v>2</v>
      </c>
      <c r="CK45" s="5">
        <f t="shared" si="56"/>
        <v>7.370000000000001</v>
      </c>
      <c r="CL45" s="5">
        <f t="shared" si="39"/>
        <v>1.7</v>
      </c>
      <c r="CM45" s="5" t="str">
        <f t="shared" si="40"/>
        <v/>
      </c>
      <c r="CN45" s="5" t="str">
        <f t="shared" si="41"/>
        <v/>
      </c>
      <c r="CO45" s="5" t="str">
        <f t="shared" si="42"/>
        <v/>
      </c>
      <c r="CP45" s="5">
        <f t="shared" si="54"/>
        <v>1.9634999999999998</v>
      </c>
      <c r="CQ45" s="5" t="str">
        <f t="shared" si="43"/>
        <v/>
      </c>
      <c r="CR45" s="5" t="str">
        <f t="shared" si="44"/>
        <v/>
      </c>
      <c r="CS45" s="5" t="str">
        <f t="shared" si="45"/>
        <v/>
      </c>
      <c r="CT45" s="50">
        <f t="shared" si="46"/>
        <v>1</v>
      </c>
      <c r="CU45" s="50">
        <f t="shared" si="47"/>
        <v>0</v>
      </c>
      <c r="CV45" s="50">
        <f t="shared" si="48"/>
        <v>0</v>
      </c>
      <c r="CW45" s="50">
        <f t="shared" si="49"/>
        <v>0</v>
      </c>
      <c r="CX45" s="190">
        <f t="shared" si="55"/>
        <v>1</v>
      </c>
      <c r="CZ45" s="1">
        <v>2</v>
      </c>
      <c r="DA45" s="167">
        <f t="shared" si="50"/>
        <v>1.7</v>
      </c>
      <c r="DB45" s="1">
        <f>Alcantarillas!AX50</f>
        <v>13.5</v>
      </c>
      <c r="DC45" s="5">
        <f t="shared" si="51"/>
        <v>45.9</v>
      </c>
      <c r="DE45" s="172">
        <f t="shared" si="52"/>
        <v>0</v>
      </c>
      <c r="DF45" s="172">
        <f t="shared" si="53"/>
        <v>0</v>
      </c>
    </row>
    <row r="46" spans="2:110" x14ac:dyDescent="0.25">
      <c r="B46" s="246"/>
      <c r="C46" s="253"/>
      <c r="D46" s="253"/>
      <c r="E46" s="254"/>
      <c r="F46" s="240"/>
      <c r="G46" s="176" t="s">
        <v>95</v>
      </c>
      <c r="H46" s="176" t="s">
        <v>64</v>
      </c>
      <c r="I46" s="240" t="s">
        <v>324</v>
      </c>
      <c r="N46">
        <v>41</v>
      </c>
      <c r="O46" s="24">
        <f>Alcantarillas!E51</f>
        <v>11700</v>
      </c>
      <c r="P46" s="160">
        <f>IF(Alcantarillas!J51=1.2,1,0)</f>
        <v>1</v>
      </c>
      <c r="Q46" s="160">
        <f>IF(Alcantarillas!J51=1.3,1,0)</f>
        <v>0</v>
      </c>
      <c r="R46" s="160">
        <f>IF(Alcantarillas!J51=1.4,1,0)</f>
        <v>0</v>
      </c>
      <c r="S46" s="160">
        <f>IF(Alcantarillas!L51=1.2,1,0)</f>
        <v>0</v>
      </c>
      <c r="T46" s="160">
        <f>IF(Alcantarillas!L51=1.5,1,0)</f>
        <v>0</v>
      </c>
      <c r="V46" s="160">
        <f>IF(Alcantarillas!J51=1.2,Alcantarillas!AX51,0)</f>
        <v>12.1</v>
      </c>
      <c r="W46" s="160">
        <f>IF(Alcantarillas!J51=1.3,Alcantarillas!AX51,0)</f>
        <v>0</v>
      </c>
      <c r="X46" s="160">
        <f>IF(Alcantarillas!J51=1.4,Alcantarillas!AX51,0)</f>
        <v>0</v>
      </c>
      <c r="Y46" s="160">
        <f>IF(Alcantarillas!L51=1.2,Alcantarillas!AX51,0)</f>
        <v>0</v>
      </c>
      <c r="Z46" s="160">
        <f>IF(Alcantarillas!L51=1.5,Alcantarillas!AX51,0)</f>
        <v>0</v>
      </c>
      <c r="AB46" s="21"/>
      <c r="AC46" s="5">
        <f t="shared" si="16"/>
        <v>2.2000000000000002</v>
      </c>
      <c r="AD46" s="21"/>
      <c r="AE46" s="5">
        <f t="shared" si="17"/>
        <v>1.1309733552923256</v>
      </c>
      <c r="AF46" s="5">
        <f t="shared" si="61"/>
        <v>0</v>
      </c>
      <c r="AG46" s="21"/>
      <c r="AH46" s="5">
        <f t="shared" si="19"/>
        <v>0</v>
      </c>
      <c r="AI46" s="5">
        <f t="shared" si="20"/>
        <v>0</v>
      </c>
      <c r="AJ46" s="5">
        <f t="shared" si="21"/>
        <v>5.2</v>
      </c>
      <c r="AK46" s="5">
        <f t="shared" si="22"/>
        <v>5.5500000000000007</v>
      </c>
      <c r="AL46" s="5">
        <f t="shared" si="23"/>
        <v>0</v>
      </c>
      <c r="AM46" s="5">
        <f t="shared" si="24"/>
        <v>0</v>
      </c>
      <c r="AO46" s="21">
        <v>1.8</v>
      </c>
      <c r="AP46" s="5">
        <f t="shared" si="25"/>
        <v>2.2000000000000002</v>
      </c>
      <c r="AQ46" s="21">
        <v>0.2</v>
      </c>
      <c r="AR46" s="5">
        <f t="shared" si="26"/>
        <v>1.1309733552923256</v>
      </c>
      <c r="AS46" s="5">
        <f t="shared" si="60"/>
        <v>0.4338053289415349</v>
      </c>
      <c r="AT46" s="21">
        <v>2.12</v>
      </c>
      <c r="AU46" s="5">
        <f t="shared" si="28"/>
        <v>2.3178666666666672</v>
      </c>
      <c r="AV46" s="5">
        <f t="shared" si="29"/>
        <v>0.46357333333333345</v>
      </c>
      <c r="AW46" s="5">
        <f t="shared" si="30"/>
        <v>5.2</v>
      </c>
      <c r="AX46" s="5">
        <f t="shared" si="31"/>
        <v>5.5500000000000007</v>
      </c>
      <c r="AY46" s="5">
        <f t="shared" si="32"/>
        <v>1.1100000000000001</v>
      </c>
      <c r="AZ46" s="5">
        <f t="shared" si="33"/>
        <v>2.0073786622748684</v>
      </c>
      <c r="BB46" s="163">
        <v>9</v>
      </c>
      <c r="BC46" s="118">
        <f t="shared" si="58"/>
        <v>13.5</v>
      </c>
      <c r="BD46" s="118">
        <f t="shared" si="57"/>
        <v>97.2</v>
      </c>
      <c r="BE46" s="118">
        <v>10.5</v>
      </c>
      <c r="BF46" s="118">
        <f t="shared" si="59"/>
        <v>75.600000000000009</v>
      </c>
      <c r="BG46" s="183"/>
      <c r="BH46" s="163"/>
      <c r="BI46" s="167"/>
      <c r="BJ46" s="167"/>
      <c r="BK46" s="167"/>
      <c r="BL46" s="167"/>
      <c r="BN46" s="5">
        <f t="shared" si="64"/>
        <v>2.0073786622748684</v>
      </c>
      <c r="BO46" s="5">
        <f t="shared" si="65"/>
        <v>0</v>
      </c>
      <c r="BP46" s="5">
        <f t="shared" si="66"/>
        <v>0</v>
      </c>
      <c r="BQ46" s="5">
        <f t="shared" si="67"/>
        <v>0</v>
      </c>
      <c r="BR46" s="5">
        <f t="shared" si="68"/>
        <v>0</v>
      </c>
      <c r="BS46" s="163">
        <f t="shared" si="69"/>
        <v>0</v>
      </c>
      <c r="BT46" s="163">
        <f t="shared" si="70"/>
        <v>0</v>
      </c>
      <c r="BU46" s="163">
        <f t="shared" si="71"/>
        <v>0</v>
      </c>
      <c r="BV46" s="163">
        <f t="shared" si="72"/>
        <v>0</v>
      </c>
      <c r="BW46" s="163">
        <f t="shared" si="73"/>
        <v>0</v>
      </c>
      <c r="BX46" s="163">
        <f t="shared" si="74"/>
        <v>1</v>
      </c>
      <c r="BY46" s="163">
        <f t="shared" si="75"/>
        <v>0</v>
      </c>
      <c r="BZ46" s="163">
        <f t="shared" si="76"/>
        <v>0</v>
      </c>
      <c r="CA46" s="163">
        <f t="shared" si="77"/>
        <v>0</v>
      </c>
      <c r="CB46" s="163">
        <f t="shared" si="78"/>
        <v>0</v>
      </c>
      <c r="CC46" s="163">
        <f t="shared" si="34"/>
        <v>1</v>
      </c>
      <c r="CD46" s="163">
        <f t="shared" si="35"/>
        <v>0</v>
      </c>
      <c r="CE46" s="163">
        <f t="shared" si="36"/>
        <v>0</v>
      </c>
      <c r="CF46" s="163">
        <f t="shared" si="37"/>
        <v>0</v>
      </c>
      <c r="CG46" s="163">
        <f t="shared" si="38"/>
        <v>0</v>
      </c>
      <c r="CI46" s="167">
        <v>2.2000000000000002</v>
      </c>
      <c r="CJ46" s="167">
        <v>2.5</v>
      </c>
      <c r="CK46" s="5">
        <f t="shared" si="56"/>
        <v>5.1700000000000008</v>
      </c>
      <c r="CL46" s="5">
        <f t="shared" si="39"/>
        <v>1.7</v>
      </c>
      <c r="CM46" s="5" t="str">
        <f t="shared" si="40"/>
        <v/>
      </c>
      <c r="CN46" s="5" t="str">
        <f t="shared" si="41"/>
        <v/>
      </c>
      <c r="CO46" s="5" t="str">
        <f t="shared" si="42"/>
        <v/>
      </c>
      <c r="CP46" s="5">
        <f t="shared" si="54"/>
        <v>1.4534999999999998</v>
      </c>
      <c r="CQ46" s="5" t="str">
        <f t="shared" si="43"/>
        <v/>
      </c>
      <c r="CR46" s="5" t="str">
        <f t="shared" si="44"/>
        <v/>
      </c>
      <c r="CS46" s="5" t="str">
        <f t="shared" si="45"/>
        <v/>
      </c>
      <c r="CT46" s="50">
        <f t="shared" si="46"/>
        <v>1</v>
      </c>
      <c r="CU46" s="50">
        <f t="shared" si="47"/>
        <v>0</v>
      </c>
      <c r="CV46" s="50">
        <f t="shared" si="48"/>
        <v>0</v>
      </c>
      <c r="CW46" s="50">
        <f t="shared" si="49"/>
        <v>0</v>
      </c>
      <c r="CX46" s="190">
        <f t="shared" si="55"/>
        <v>1</v>
      </c>
      <c r="CZ46" s="1">
        <v>2</v>
      </c>
      <c r="DA46" s="167">
        <f t="shared" si="50"/>
        <v>1.7</v>
      </c>
      <c r="DB46" s="1">
        <f>Alcantarillas!AX51</f>
        <v>12.1</v>
      </c>
      <c r="DC46" s="5">
        <f t="shared" si="51"/>
        <v>41.14</v>
      </c>
      <c r="DE46" s="172">
        <f t="shared" si="52"/>
        <v>351</v>
      </c>
      <c r="DF46" s="172">
        <f t="shared" si="53"/>
        <v>0</v>
      </c>
    </row>
    <row r="47" spans="2:110" x14ac:dyDescent="0.25">
      <c r="B47" s="243" t="s">
        <v>377</v>
      </c>
      <c r="C47" s="250"/>
      <c r="D47" s="250"/>
      <c r="E47" s="244"/>
      <c r="F47" s="172">
        <v>20</v>
      </c>
      <c r="G47" s="5">
        <f>PI()*(1^2)/4</f>
        <v>0.78539816339744828</v>
      </c>
      <c r="H47" s="172">
        <v>9</v>
      </c>
      <c r="I47" s="50">
        <f>F47*G47*H47</f>
        <v>141.37166941154069</v>
      </c>
      <c r="N47">
        <v>42</v>
      </c>
      <c r="O47" s="24">
        <f>Alcantarillas!E52</f>
        <v>11990</v>
      </c>
      <c r="P47" s="160">
        <f>IF(Alcantarillas!J52=1.2,1,0)</f>
        <v>1</v>
      </c>
      <c r="Q47" s="160">
        <f>IF(Alcantarillas!J52=1.3,1,0)</f>
        <v>0</v>
      </c>
      <c r="R47" s="160">
        <f>IF(Alcantarillas!J52=1.4,1,0)</f>
        <v>0</v>
      </c>
      <c r="S47" s="160">
        <f>IF(Alcantarillas!L52=1.2,1,0)</f>
        <v>0</v>
      </c>
      <c r="T47" s="160">
        <f>IF(Alcantarillas!L52=1.5,1,0)</f>
        <v>0</v>
      </c>
      <c r="V47" s="160">
        <f>IF(Alcantarillas!J52=1.2,Alcantarillas!AX52,0)</f>
        <v>14.8</v>
      </c>
      <c r="W47" s="160">
        <f>IF(Alcantarillas!J52=1.3,Alcantarillas!AX52,0)</f>
        <v>0</v>
      </c>
      <c r="X47" s="160">
        <f>IF(Alcantarillas!J52=1.4,Alcantarillas!AX52,0)</f>
        <v>0</v>
      </c>
      <c r="Y47" s="160">
        <f>IF(Alcantarillas!L52=1.2,Alcantarillas!AX52,0)</f>
        <v>0</v>
      </c>
      <c r="Z47" s="160">
        <f>IF(Alcantarillas!L52=1.5,Alcantarillas!AX52,0)</f>
        <v>0</v>
      </c>
      <c r="AB47" s="21"/>
      <c r="AC47" s="5">
        <f t="shared" si="16"/>
        <v>2.2000000000000002</v>
      </c>
      <c r="AD47" s="21"/>
      <c r="AE47" s="5">
        <f t="shared" si="17"/>
        <v>1.1309733552923256</v>
      </c>
      <c r="AF47" s="5">
        <f t="shared" si="61"/>
        <v>0</v>
      </c>
      <c r="AG47" s="21"/>
      <c r="AH47" s="5">
        <f t="shared" si="19"/>
        <v>0</v>
      </c>
      <c r="AI47" s="5">
        <f t="shared" si="20"/>
        <v>0</v>
      </c>
      <c r="AJ47" s="5">
        <f t="shared" si="21"/>
        <v>5.2</v>
      </c>
      <c r="AK47" s="5">
        <f t="shared" si="22"/>
        <v>5.5500000000000007</v>
      </c>
      <c r="AL47" s="5">
        <f t="shared" si="23"/>
        <v>0</v>
      </c>
      <c r="AM47" s="5">
        <f t="shared" si="24"/>
        <v>0</v>
      </c>
      <c r="AO47" s="21">
        <v>1.5</v>
      </c>
      <c r="AP47" s="5">
        <f t="shared" si="25"/>
        <v>2.2000000000000002</v>
      </c>
      <c r="AQ47" s="21">
        <v>0.2</v>
      </c>
      <c r="AR47" s="5">
        <f t="shared" si="26"/>
        <v>1.1309733552923256</v>
      </c>
      <c r="AS47" s="5">
        <f t="shared" si="60"/>
        <v>0.82980532894153503</v>
      </c>
      <c r="AT47" s="21">
        <v>2.12</v>
      </c>
      <c r="AU47" s="5">
        <f t="shared" si="28"/>
        <v>1.6818666666666668</v>
      </c>
      <c r="AV47" s="5">
        <f t="shared" si="29"/>
        <v>0.33637333333333341</v>
      </c>
      <c r="AW47" s="5">
        <f t="shared" si="30"/>
        <v>5.2</v>
      </c>
      <c r="AX47" s="5">
        <f t="shared" si="31"/>
        <v>5.5500000000000007</v>
      </c>
      <c r="AY47" s="5">
        <f t="shared" si="32"/>
        <v>1.1100000000000001</v>
      </c>
      <c r="AZ47" s="5">
        <f t="shared" si="33"/>
        <v>2.2761786622748685</v>
      </c>
      <c r="BB47" s="163"/>
      <c r="BC47" s="118"/>
      <c r="BD47" s="118"/>
      <c r="BE47" s="118"/>
      <c r="BF47" s="118"/>
      <c r="BG47" s="183"/>
      <c r="BH47" s="163"/>
      <c r="BI47" s="167"/>
      <c r="BJ47" s="167"/>
      <c r="BK47" s="167"/>
      <c r="BL47" s="167"/>
      <c r="BN47" s="5">
        <f t="shared" si="64"/>
        <v>2.2761786622748685</v>
      </c>
      <c r="BO47" s="5">
        <f t="shared" si="65"/>
        <v>0</v>
      </c>
      <c r="BP47" s="5">
        <f t="shared" si="66"/>
        <v>0</v>
      </c>
      <c r="BQ47" s="5">
        <f t="shared" si="67"/>
        <v>0</v>
      </c>
      <c r="BR47" s="5">
        <f t="shared" si="68"/>
        <v>0</v>
      </c>
      <c r="BS47" s="163">
        <f t="shared" si="69"/>
        <v>0</v>
      </c>
      <c r="BT47" s="163">
        <f t="shared" si="70"/>
        <v>0</v>
      </c>
      <c r="BU47" s="163">
        <f t="shared" si="71"/>
        <v>0</v>
      </c>
      <c r="BV47" s="163">
        <f t="shared" si="72"/>
        <v>0</v>
      </c>
      <c r="BW47" s="163">
        <f t="shared" si="73"/>
        <v>0</v>
      </c>
      <c r="BX47" s="163">
        <f t="shared" si="74"/>
        <v>1</v>
      </c>
      <c r="BY47" s="163">
        <f t="shared" si="75"/>
        <v>0</v>
      </c>
      <c r="BZ47" s="163">
        <f t="shared" si="76"/>
        <v>0</v>
      </c>
      <c r="CA47" s="163">
        <f t="shared" si="77"/>
        <v>0</v>
      </c>
      <c r="CB47" s="163">
        <f t="shared" si="78"/>
        <v>0</v>
      </c>
      <c r="CC47" s="163">
        <f t="shared" si="34"/>
        <v>1</v>
      </c>
      <c r="CD47" s="163">
        <f t="shared" si="35"/>
        <v>0</v>
      </c>
      <c r="CE47" s="163">
        <f t="shared" si="36"/>
        <v>0</v>
      </c>
      <c r="CF47" s="163">
        <f t="shared" si="37"/>
        <v>0</v>
      </c>
      <c r="CG47" s="163">
        <f t="shared" si="38"/>
        <v>0</v>
      </c>
      <c r="CI47" s="167">
        <v>4.7</v>
      </c>
      <c r="CJ47" s="167">
        <v>1.9</v>
      </c>
      <c r="CK47" s="5">
        <f t="shared" si="56"/>
        <v>7.26</v>
      </c>
      <c r="CL47" s="5">
        <f t="shared" si="39"/>
        <v>1.7</v>
      </c>
      <c r="CM47" s="5" t="str">
        <f t="shared" si="40"/>
        <v/>
      </c>
      <c r="CN47" s="5" t="str">
        <f t="shared" si="41"/>
        <v/>
      </c>
      <c r="CO47" s="5" t="str">
        <f t="shared" si="42"/>
        <v/>
      </c>
      <c r="CP47" s="5">
        <f t="shared" si="54"/>
        <v>1.9379999999999999</v>
      </c>
      <c r="CQ47" s="5" t="str">
        <f t="shared" si="43"/>
        <v/>
      </c>
      <c r="CR47" s="5" t="str">
        <f t="shared" si="44"/>
        <v/>
      </c>
      <c r="CS47" s="5" t="str">
        <f t="shared" si="45"/>
        <v/>
      </c>
      <c r="CT47" s="50">
        <f t="shared" si="46"/>
        <v>1</v>
      </c>
      <c r="CU47" s="50">
        <f t="shared" si="47"/>
        <v>0</v>
      </c>
      <c r="CV47" s="50">
        <f t="shared" si="48"/>
        <v>0</v>
      </c>
      <c r="CW47" s="50">
        <f t="shared" si="49"/>
        <v>0</v>
      </c>
      <c r="CX47" s="190">
        <f t="shared" si="55"/>
        <v>1</v>
      </c>
      <c r="CZ47" s="1">
        <v>2</v>
      </c>
      <c r="DA47" s="167">
        <f t="shared" si="50"/>
        <v>1.7</v>
      </c>
      <c r="DB47" s="1">
        <f>Alcantarillas!AX52</f>
        <v>14.8</v>
      </c>
      <c r="DC47" s="5">
        <f t="shared" si="51"/>
        <v>50.32</v>
      </c>
      <c r="DE47" s="172">
        <f t="shared" si="52"/>
        <v>0</v>
      </c>
      <c r="DF47" s="172">
        <f t="shared" si="53"/>
        <v>0</v>
      </c>
    </row>
    <row r="48" spans="2:110" x14ac:dyDescent="0.25">
      <c r="B48" s="243" t="s">
        <v>364</v>
      </c>
      <c r="C48" s="250"/>
      <c r="D48" s="250"/>
      <c r="E48" s="244"/>
      <c r="F48" s="172"/>
      <c r="G48" s="172">
        <v>0.112</v>
      </c>
      <c r="H48" s="172">
        <f>D9</f>
        <v>56250</v>
      </c>
      <c r="I48" s="172">
        <f>G48*H48</f>
        <v>6300</v>
      </c>
      <c r="N48">
        <v>43</v>
      </c>
      <c r="O48" s="24">
        <f>Alcantarillas!E53</f>
        <v>12214</v>
      </c>
      <c r="P48" s="160">
        <f>IF(Alcantarillas!J53=1.2,1,0)</f>
        <v>1</v>
      </c>
      <c r="Q48" s="160">
        <f>IF(Alcantarillas!J53=1.3,1,0)</f>
        <v>0</v>
      </c>
      <c r="R48" s="160">
        <f>IF(Alcantarillas!J53=1.4,1,0)</f>
        <v>0</v>
      </c>
      <c r="S48" s="160">
        <f>IF(Alcantarillas!L53=1.2,1,0)</f>
        <v>0</v>
      </c>
      <c r="T48" s="160">
        <f>IF(Alcantarillas!L53=1.5,1,0)</f>
        <v>0</v>
      </c>
      <c r="V48" s="160">
        <f>IF(Alcantarillas!J53=1.2,Alcantarillas!AX53,0)</f>
        <v>9</v>
      </c>
      <c r="W48" s="160">
        <f>IF(Alcantarillas!J53=1.3,Alcantarillas!AX53,0)</f>
        <v>0</v>
      </c>
      <c r="X48" s="160">
        <f>IF(Alcantarillas!J53=1.4,Alcantarillas!AX53,0)</f>
        <v>0</v>
      </c>
      <c r="Y48" s="160">
        <f>IF(Alcantarillas!L53=1.2,Alcantarillas!AX53,0)</f>
        <v>0</v>
      </c>
      <c r="Z48" s="160">
        <f>IF(Alcantarillas!L53=1.5,Alcantarillas!AX53,0)</f>
        <v>0</v>
      </c>
      <c r="AB48" s="21"/>
      <c r="AC48" s="5">
        <f t="shared" si="16"/>
        <v>2.2000000000000002</v>
      </c>
      <c r="AD48" s="21"/>
      <c r="AE48" s="5">
        <f t="shared" si="17"/>
        <v>1.1309733552923256</v>
      </c>
      <c r="AF48" s="5">
        <f t="shared" si="61"/>
        <v>0</v>
      </c>
      <c r="AG48" s="21"/>
      <c r="AH48" s="5">
        <f t="shared" si="19"/>
        <v>0</v>
      </c>
      <c r="AI48" s="5">
        <f t="shared" si="20"/>
        <v>0</v>
      </c>
      <c r="AJ48" s="5">
        <f t="shared" si="21"/>
        <v>5.2</v>
      </c>
      <c r="AK48" s="5">
        <f t="shared" si="22"/>
        <v>5.5500000000000007</v>
      </c>
      <c r="AL48" s="5">
        <f t="shared" si="23"/>
        <v>0</v>
      </c>
      <c r="AM48" s="5">
        <f t="shared" si="24"/>
        <v>0</v>
      </c>
      <c r="AO48" s="21">
        <v>2.4</v>
      </c>
      <c r="AP48" s="5">
        <f t="shared" si="25"/>
        <v>2.2000000000000002</v>
      </c>
      <c r="AQ48" s="21">
        <v>0.2</v>
      </c>
      <c r="AR48" s="5">
        <f t="shared" si="26"/>
        <v>1.1309733552923256</v>
      </c>
      <c r="AS48" s="5">
        <f t="shared" si="60"/>
        <v>0.52180532894153497</v>
      </c>
      <c r="AT48" s="21">
        <v>2.12</v>
      </c>
      <c r="AU48" s="5">
        <f t="shared" si="28"/>
        <v>3.5898666666666665</v>
      </c>
      <c r="AV48" s="5">
        <f t="shared" si="29"/>
        <v>0.71797333333333335</v>
      </c>
      <c r="AW48" s="5">
        <f t="shared" si="30"/>
        <v>5.2</v>
      </c>
      <c r="AX48" s="5">
        <f t="shared" si="31"/>
        <v>5.5500000000000007</v>
      </c>
      <c r="AY48" s="5">
        <f t="shared" si="32"/>
        <v>1.1100000000000001</v>
      </c>
      <c r="AZ48" s="5">
        <f t="shared" si="33"/>
        <v>2.3497786622748684</v>
      </c>
      <c r="BB48" s="163"/>
      <c r="BC48" s="118"/>
      <c r="BD48" s="118"/>
      <c r="BE48" s="118"/>
      <c r="BF48" s="118"/>
      <c r="BG48" s="183"/>
      <c r="BH48" s="163"/>
      <c r="BI48" s="167"/>
      <c r="BJ48" s="167"/>
      <c r="BK48" s="167"/>
      <c r="BL48" s="167"/>
      <c r="BN48" s="5">
        <f t="shared" si="64"/>
        <v>2.3497786622748684</v>
      </c>
      <c r="BO48" s="5">
        <f t="shared" si="65"/>
        <v>0</v>
      </c>
      <c r="BP48" s="5">
        <f t="shared" si="66"/>
        <v>0</v>
      </c>
      <c r="BQ48" s="5">
        <f t="shared" si="67"/>
        <v>0</v>
      </c>
      <c r="BR48" s="5">
        <f t="shared" si="68"/>
        <v>0</v>
      </c>
      <c r="BS48" s="163">
        <f t="shared" si="69"/>
        <v>0</v>
      </c>
      <c r="BT48" s="163">
        <f t="shared" si="70"/>
        <v>0</v>
      </c>
      <c r="BU48" s="163">
        <f t="shared" si="71"/>
        <v>0</v>
      </c>
      <c r="BV48" s="163">
        <f t="shared" si="72"/>
        <v>0</v>
      </c>
      <c r="BW48" s="163">
        <f t="shared" si="73"/>
        <v>0</v>
      </c>
      <c r="BX48" s="163">
        <f t="shared" si="74"/>
        <v>1</v>
      </c>
      <c r="BY48" s="163">
        <f t="shared" si="75"/>
        <v>0</v>
      </c>
      <c r="BZ48" s="163">
        <f t="shared" si="76"/>
        <v>0</v>
      </c>
      <c r="CA48" s="163">
        <f t="shared" si="77"/>
        <v>0</v>
      </c>
      <c r="CB48" s="163">
        <f t="shared" si="78"/>
        <v>0</v>
      </c>
      <c r="CC48" s="163">
        <f t="shared" si="34"/>
        <v>1</v>
      </c>
      <c r="CD48" s="163">
        <f t="shared" si="35"/>
        <v>0</v>
      </c>
      <c r="CE48" s="163">
        <f t="shared" si="36"/>
        <v>0</v>
      </c>
      <c r="CF48" s="163">
        <f t="shared" si="37"/>
        <v>0</v>
      </c>
      <c r="CG48" s="163">
        <f t="shared" si="38"/>
        <v>0</v>
      </c>
      <c r="CI48" s="167">
        <v>1.7</v>
      </c>
      <c r="CJ48" s="167">
        <v>1.7</v>
      </c>
      <c r="CK48" s="5">
        <f t="shared" si="56"/>
        <v>3.74</v>
      </c>
      <c r="CL48" s="5">
        <f t="shared" si="39"/>
        <v>1.7</v>
      </c>
      <c r="CM48" s="5" t="str">
        <f t="shared" si="40"/>
        <v/>
      </c>
      <c r="CN48" s="5" t="str">
        <f t="shared" si="41"/>
        <v/>
      </c>
      <c r="CO48" s="5" t="str">
        <f t="shared" si="42"/>
        <v/>
      </c>
      <c r="CP48" s="5">
        <f t="shared" si="54"/>
        <v>1.1219999999999999</v>
      </c>
      <c r="CQ48" s="5" t="str">
        <f t="shared" si="43"/>
        <v/>
      </c>
      <c r="CR48" s="5" t="str">
        <f t="shared" si="44"/>
        <v/>
      </c>
      <c r="CS48" s="5" t="str">
        <f t="shared" si="45"/>
        <v/>
      </c>
      <c r="CT48" s="50">
        <f t="shared" si="46"/>
        <v>1</v>
      </c>
      <c r="CU48" s="50">
        <f t="shared" si="47"/>
        <v>0</v>
      </c>
      <c r="CV48" s="50">
        <f t="shared" si="48"/>
        <v>0</v>
      </c>
      <c r="CW48" s="50">
        <f t="shared" si="49"/>
        <v>0</v>
      </c>
      <c r="CX48" s="190">
        <f t="shared" si="55"/>
        <v>1</v>
      </c>
      <c r="CZ48" s="1">
        <v>2</v>
      </c>
      <c r="DA48" s="167">
        <f t="shared" si="50"/>
        <v>1.7</v>
      </c>
      <c r="DB48" s="1">
        <f>Alcantarillas!AX53</f>
        <v>9</v>
      </c>
      <c r="DC48" s="5">
        <f t="shared" si="51"/>
        <v>30.599999999999998</v>
      </c>
      <c r="DE48" s="172">
        <f t="shared" si="52"/>
        <v>0</v>
      </c>
      <c r="DF48" s="172">
        <f t="shared" si="53"/>
        <v>0</v>
      </c>
    </row>
    <row r="49" spans="2:110" x14ac:dyDescent="0.25">
      <c r="B49" s="243" t="s">
        <v>365</v>
      </c>
      <c r="C49" s="250"/>
      <c r="D49" s="250"/>
      <c r="E49" s="244"/>
      <c r="F49" s="172">
        <v>110</v>
      </c>
      <c r="G49" s="172"/>
      <c r="H49" s="172"/>
      <c r="I49" s="50">
        <f>DC116</f>
        <v>8094.2250000000013</v>
      </c>
      <c r="N49">
        <v>44</v>
      </c>
      <c r="O49" s="24">
        <f>Alcantarillas!E54</f>
        <v>12316.7</v>
      </c>
      <c r="P49" s="160">
        <f>IF(Alcantarillas!J54=1.2,1,0)</f>
        <v>0</v>
      </c>
      <c r="Q49" s="160">
        <f>IF(Alcantarillas!J54=1.3,1,0)</f>
        <v>0</v>
      </c>
      <c r="R49" s="160">
        <f>IF(Alcantarillas!J54=1.4,1,0)</f>
        <v>0</v>
      </c>
      <c r="S49" s="160">
        <f>IF(Alcantarillas!L54=1.2,1,0)</f>
        <v>1</v>
      </c>
      <c r="T49" s="160">
        <f>IF(Alcantarillas!L54=1.5,1,0)</f>
        <v>0</v>
      </c>
      <c r="V49" s="160">
        <f>IF(Alcantarillas!J54=1.2,Alcantarillas!AX54,0)</f>
        <v>0</v>
      </c>
      <c r="W49" s="160">
        <f>IF(Alcantarillas!J54=1.3,Alcantarillas!AX54,0)</f>
        <v>0</v>
      </c>
      <c r="X49" s="160">
        <f>IF(Alcantarillas!J54=1.4,Alcantarillas!AX54,0)</f>
        <v>0</v>
      </c>
      <c r="Y49" s="160">
        <f>IF(Alcantarillas!L54=1.2,Alcantarillas!AX54,0)</f>
        <v>13.05</v>
      </c>
      <c r="Z49" s="160">
        <f>IF(Alcantarillas!L54=1.5,Alcantarillas!AX54,0)</f>
        <v>0</v>
      </c>
      <c r="AB49" s="21"/>
      <c r="AC49" s="5">
        <f t="shared" si="16"/>
        <v>2.2000000000000002</v>
      </c>
      <c r="AD49" s="21"/>
      <c r="AE49" s="5">
        <f t="shared" si="17"/>
        <v>1.44</v>
      </c>
      <c r="AF49" s="5">
        <f t="shared" si="61"/>
        <v>0</v>
      </c>
      <c r="AG49" s="21"/>
      <c r="AH49" s="5">
        <f t="shared" si="19"/>
        <v>0</v>
      </c>
      <c r="AI49" s="5">
        <f t="shared" si="20"/>
        <v>0</v>
      </c>
      <c r="AJ49" s="5">
        <f t="shared" si="21"/>
        <v>5.2</v>
      </c>
      <c r="AK49" s="5">
        <f t="shared" si="22"/>
        <v>5.5500000000000007</v>
      </c>
      <c r="AL49" s="5">
        <f t="shared" si="23"/>
        <v>0</v>
      </c>
      <c r="AM49" s="5">
        <f t="shared" si="24"/>
        <v>0</v>
      </c>
      <c r="AO49" s="21">
        <v>1.7</v>
      </c>
      <c r="AP49" s="5">
        <f t="shared" si="25"/>
        <v>2.2000000000000002</v>
      </c>
      <c r="AQ49" s="21">
        <v>0.2</v>
      </c>
      <c r="AR49" s="5">
        <f t="shared" si="26"/>
        <v>1.44</v>
      </c>
      <c r="AS49" s="5">
        <f t="shared" si="60"/>
        <v>0.68000000000000016</v>
      </c>
      <c r="AT49" s="21">
        <v>2.12</v>
      </c>
      <c r="AU49" s="5">
        <f t="shared" si="28"/>
        <v>2.1058666666666666</v>
      </c>
      <c r="AV49" s="5">
        <f t="shared" si="29"/>
        <v>0.42117333333333334</v>
      </c>
      <c r="AW49" s="5">
        <f t="shared" si="30"/>
        <v>5.2</v>
      </c>
      <c r="AX49" s="5">
        <f t="shared" si="31"/>
        <v>5.5500000000000007</v>
      </c>
      <c r="AY49" s="5">
        <f t="shared" si="32"/>
        <v>1.1100000000000001</v>
      </c>
      <c r="AZ49" s="5">
        <f t="shared" si="33"/>
        <v>2.2111733333333339</v>
      </c>
      <c r="BB49" s="163"/>
      <c r="BC49" s="118"/>
      <c r="BD49" s="118"/>
      <c r="BE49" s="118"/>
      <c r="BF49" s="118"/>
      <c r="BG49" s="183"/>
      <c r="BH49" s="163">
        <v>4</v>
      </c>
      <c r="BI49" s="167">
        <f>0.2*1.5*BH49</f>
        <v>1.2000000000000002</v>
      </c>
      <c r="BJ49" s="167">
        <f>BI49*(AW49+(2*$BI$1))</f>
        <v>8.6400000000000023</v>
      </c>
      <c r="BK49" s="167">
        <v>4.5</v>
      </c>
      <c r="BL49" s="167">
        <f>BK49*(AW49+(2*$BI$1))</f>
        <v>32.4</v>
      </c>
      <c r="BN49" s="5">
        <f t="shared" si="64"/>
        <v>0</v>
      </c>
      <c r="BO49" s="5">
        <f t="shared" si="65"/>
        <v>0</v>
      </c>
      <c r="BP49" s="5">
        <f t="shared" si="66"/>
        <v>0</v>
      </c>
      <c r="BQ49" s="5">
        <f t="shared" si="67"/>
        <v>2.2111733333333339</v>
      </c>
      <c r="BR49" s="5">
        <f t="shared" si="68"/>
        <v>0</v>
      </c>
      <c r="BS49" s="163">
        <f t="shared" si="69"/>
        <v>0</v>
      </c>
      <c r="BT49" s="163">
        <f t="shared" si="70"/>
        <v>0</v>
      </c>
      <c r="BU49" s="163">
        <f t="shared" si="71"/>
        <v>0</v>
      </c>
      <c r="BV49" s="163">
        <f t="shared" si="72"/>
        <v>0</v>
      </c>
      <c r="BW49" s="163">
        <f t="shared" si="73"/>
        <v>0</v>
      </c>
      <c r="BX49" s="163">
        <f t="shared" si="74"/>
        <v>0</v>
      </c>
      <c r="BY49" s="163">
        <f t="shared" si="75"/>
        <v>0</v>
      </c>
      <c r="BZ49" s="163">
        <f t="shared" si="76"/>
        <v>0</v>
      </c>
      <c r="CA49" s="163">
        <f t="shared" si="77"/>
        <v>1</v>
      </c>
      <c r="CB49" s="163">
        <f t="shared" si="78"/>
        <v>0</v>
      </c>
      <c r="CC49" s="163">
        <f t="shared" si="34"/>
        <v>0</v>
      </c>
      <c r="CD49" s="163">
        <f t="shared" si="35"/>
        <v>0</v>
      </c>
      <c r="CE49" s="163">
        <f t="shared" si="36"/>
        <v>0</v>
      </c>
      <c r="CF49" s="163">
        <f t="shared" si="37"/>
        <v>1</v>
      </c>
      <c r="CG49" s="163">
        <f t="shared" si="38"/>
        <v>0</v>
      </c>
      <c r="CI49" s="167">
        <v>2.2000000000000002</v>
      </c>
      <c r="CJ49" s="167">
        <v>2.6</v>
      </c>
      <c r="CK49" s="5">
        <f t="shared" si="56"/>
        <v>5.2800000000000011</v>
      </c>
      <c r="CL49" s="5" t="str">
        <f t="shared" si="39"/>
        <v/>
      </c>
      <c r="CM49" s="5" t="str">
        <f t="shared" si="40"/>
        <v/>
      </c>
      <c r="CN49" s="5">
        <f t="shared" si="41"/>
        <v>1.7</v>
      </c>
      <c r="CO49" s="5" t="str">
        <f t="shared" si="42"/>
        <v/>
      </c>
      <c r="CP49" s="5" t="str">
        <f t="shared" si="54"/>
        <v/>
      </c>
      <c r="CQ49" s="5" t="str">
        <f t="shared" si="43"/>
        <v/>
      </c>
      <c r="CR49" s="5">
        <f t="shared" si="44"/>
        <v>1.4789999999999999</v>
      </c>
      <c r="CS49" s="5" t="str">
        <f t="shared" si="45"/>
        <v/>
      </c>
      <c r="CT49" s="50">
        <f t="shared" si="46"/>
        <v>0</v>
      </c>
      <c r="CU49" s="50">
        <f t="shared" si="47"/>
        <v>0</v>
      </c>
      <c r="CV49" s="50">
        <f t="shared" si="48"/>
        <v>1</v>
      </c>
      <c r="CW49" s="50">
        <f t="shared" si="49"/>
        <v>0</v>
      </c>
      <c r="CX49" s="190">
        <f t="shared" si="55"/>
        <v>1</v>
      </c>
      <c r="CZ49" s="1">
        <v>2.2000000000000002</v>
      </c>
      <c r="DA49" s="167">
        <f t="shared" si="50"/>
        <v>1.7</v>
      </c>
      <c r="DB49" s="1">
        <f>Alcantarillas!AX54</f>
        <v>13.05</v>
      </c>
      <c r="DC49" s="5">
        <f t="shared" si="51"/>
        <v>48.807000000000002</v>
      </c>
      <c r="DE49" s="172">
        <f t="shared" si="52"/>
        <v>0</v>
      </c>
      <c r="DF49" s="172">
        <f t="shared" si="53"/>
        <v>100.32000000000001</v>
      </c>
    </row>
    <row r="50" spans="2:110" x14ac:dyDescent="0.25">
      <c r="B50" s="243" t="s">
        <v>378</v>
      </c>
      <c r="C50" s="250"/>
      <c r="D50" s="250"/>
      <c r="E50" s="244"/>
      <c r="F50" s="50">
        <f>CX116</f>
        <v>71</v>
      </c>
      <c r="G50" s="172"/>
      <c r="H50" s="172"/>
      <c r="I50" s="50">
        <f>CK116</f>
        <v>453.77500000000032</v>
      </c>
      <c r="N50">
        <v>45</v>
      </c>
      <c r="O50" s="24">
        <f>Alcantarillas!E55</f>
        <v>12600</v>
      </c>
      <c r="P50" s="160">
        <f>IF(Alcantarillas!J55=1.2,1,0)</f>
        <v>1</v>
      </c>
      <c r="Q50" s="160">
        <f>IF(Alcantarillas!J55=1.3,1,0)</f>
        <v>0</v>
      </c>
      <c r="R50" s="160">
        <f>IF(Alcantarillas!J55=1.4,1,0)</f>
        <v>0</v>
      </c>
      <c r="S50" s="160">
        <f>IF(Alcantarillas!L55=1.2,1,0)</f>
        <v>0</v>
      </c>
      <c r="T50" s="160">
        <f>IF(Alcantarillas!L55=1.5,1,0)</f>
        <v>0</v>
      </c>
      <c r="V50" s="160">
        <f>IF(Alcantarillas!J55=1.2,Alcantarillas!AX55,0)</f>
        <v>10.85</v>
      </c>
      <c r="W50" s="160">
        <f>IF(Alcantarillas!J55=1.3,Alcantarillas!AX55,0)</f>
        <v>0</v>
      </c>
      <c r="X50" s="160">
        <f>IF(Alcantarillas!J55=1.4,Alcantarillas!AX55,0)</f>
        <v>0</v>
      </c>
      <c r="Y50" s="160">
        <f>IF(Alcantarillas!L55=1.2,Alcantarillas!AX55,0)</f>
        <v>0</v>
      </c>
      <c r="Z50" s="160">
        <f>IF(Alcantarillas!L55=1.5,Alcantarillas!AX55,0)</f>
        <v>0</v>
      </c>
      <c r="AB50" s="21"/>
      <c r="AC50" s="5">
        <f t="shared" si="16"/>
        <v>2.2000000000000002</v>
      </c>
      <c r="AD50" s="21"/>
      <c r="AE50" s="5">
        <f t="shared" si="17"/>
        <v>1.1309733552923256</v>
      </c>
      <c r="AF50" s="5">
        <f t="shared" si="61"/>
        <v>0</v>
      </c>
      <c r="AG50" s="21"/>
      <c r="AH50" s="5">
        <f t="shared" si="19"/>
        <v>0</v>
      </c>
      <c r="AI50" s="5">
        <f t="shared" si="20"/>
        <v>0</v>
      </c>
      <c r="AJ50" s="5">
        <f t="shared" si="21"/>
        <v>5.2</v>
      </c>
      <c r="AK50" s="5">
        <f t="shared" si="22"/>
        <v>5.5500000000000007</v>
      </c>
      <c r="AL50" s="5">
        <f t="shared" si="23"/>
        <v>0</v>
      </c>
      <c r="AM50" s="5">
        <f t="shared" si="24"/>
        <v>0</v>
      </c>
      <c r="AO50" s="21">
        <v>2.2000000000000002</v>
      </c>
      <c r="AP50" s="5">
        <f t="shared" si="25"/>
        <v>2.2000000000000002</v>
      </c>
      <c r="AQ50" s="21">
        <v>0.2</v>
      </c>
      <c r="AR50" s="5">
        <f t="shared" si="26"/>
        <v>1.1309733552923256</v>
      </c>
      <c r="AS50" s="5">
        <f t="shared" si="60"/>
        <v>0.65380532894153509</v>
      </c>
      <c r="AT50" s="21">
        <v>2.12</v>
      </c>
      <c r="AU50" s="5">
        <f t="shared" si="28"/>
        <v>3.1658666666666671</v>
      </c>
      <c r="AV50" s="5">
        <f t="shared" si="29"/>
        <v>0.63317333333333348</v>
      </c>
      <c r="AW50" s="5">
        <f t="shared" si="30"/>
        <v>5.2</v>
      </c>
      <c r="AX50" s="5">
        <f t="shared" si="31"/>
        <v>5.5500000000000007</v>
      </c>
      <c r="AY50" s="5">
        <f t="shared" si="32"/>
        <v>1.1100000000000001</v>
      </c>
      <c r="AZ50" s="5">
        <f t="shared" si="33"/>
        <v>2.3969786622748686</v>
      </c>
      <c r="BB50" s="163"/>
      <c r="BC50" s="118"/>
      <c r="BD50" s="118"/>
      <c r="BE50" s="118"/>
      <c r="BF50" s="118"/>
      <c r="BG50" s="183"/>
      <c r="BH50" s="163"/>
      <c r="BI50" s="168"/>
      <c r="BJ50" s="167"/>
      <c r="BK50" s="167"/>
      <c r="BL50" s="167"/>
      <c r="BN50" s="5">
        <f t="shared" si="64"/>
        <v>2.3969786622748686</v>
      </c>
      <c r="BO50" s="5">
        <f t="shared" si="65"/>
        <v>0</v>
      </c>
      <c r="BP50" s="5">
        <f t="shared" si="66"/>
        <v>0</v>
      </c>
      <c r="BQ50" s="5">
        <f t="shared" si="67"/>
        <v>0</v>
      </c>
      <c r="BR50" s="5">
        <f t="shared" si="68"/>
        <v>0</v>
      </c>
      <c r="BS50" s="163">
        <f t="shared" si="69"/>
        <v>0</v>
      </c>
      <c r="BT50" s="163">
        <f t="shared" si="70"/>
        <v>0</v>
      </c>
      <c r="BU50" s="163">
        <f t="shared" si="71"/>
        <v>0</v>
      </c>
      <c r="BV50" s="163">
        <f t="shared" si="72"/>
        <v>0</v>
      </c>
      <c r="BW50" s="163">
        <f t="shared" si="73"/>
        <v>0</v>
      </c>
      <c r="BX50" s="163">
        <f t="shared" si="74"/>
        <v>1</v>
      </c>
      <c r="BY50" s="163">
        <f t="shared" si="75"/>
        <v>0</v>
      </c>
      <c r="BZ50" s="163">
        <f t="shared" si="76"/>
        <v>0</v>
      </c>
      <c r="CA50" s="163">
        <f t="shared" si="77"/>
        <v>0</v>
      </c>
      <c r="CB50" s="163">
        <f t="shared" si="78"/>
        <v>0</v>
      </c>
      <c r="CC50" s="163">
        <f t="shared" si="34"/>
        <v>1</v>
      </c>
      <c r="CD50" s="163">
        <f t="shared" si="35"/>
        <v>0</v>
      </c>
      <c r="CE50" s="163">
        <f t="shared" si="36"/>
        <v>0</v>
      </c>
      <c r="CF50" s="163">
        <f t="shared" si="37"/>
        <v>0</v>
      </c>
      <c r="CG50" s="163">
        <f t="shared" si="38"/>
        <v>0</v>
      </c>
      <c r="CI50" s="167">
        <v>2.4</v>
      </c>
      <c r="CJ50" s="167">
        <v>4.3</v>
      </c>
      <c r="CK50" s="5">
        <f t="shared" si="56"/>
        <v>7.37</v>
      </c>
      <c r="CL50" s="5">
        <f t="shared" si="39"/>
        <v>1.7</v>
      </c>
      <c r="CM50" s="5" t="str">
        <f t="shared" si="40"/>
        <v/>
      </c>
      <c r="CN50" s="5" t="str">
        <f t="shared" si="41"/>
        <v/>
      </c>
      <c r="CO50" s="5" t="str">
        <f t="shared" si="42"/>
        <v/>
      </c>
      <c r="CP50" s="5">
        <f t="shared" si="54"/>
        <v>1.9634999999999998</v>
      </c>
      <c r="CQ50" s="5" t="str">
        <f t="shared" si="43"/>
        <v/>
      </c>
      <c r="CR50" s="5" t="str">
        <f t="shared" si="44"/>
        <v/>
      </c>
      <c r="CS50" s="5" t="str">
        <f t="shared" si="45"/>
        <v/>
      </c>
      <c r="CT50" s="50">
        <f t="shared" si="46"/>
        <v>1</v>
      </c>
      <c r="CU50" s="50">
        <f t="shared" si="47"/>
        <v>0</v>
      </c>
      <c r="CV50" s="50">
        <f t="shared" si="48"/>
        <v>0</v>
      </c>
      <c r="CW50" s="50">
        <f t="shared" si="49"/>
        <v>0</v>
      </c>
      <c r="CX50" s="190">
        <f t="shared" si="55"/>
        <v>1</v>
      </c>
      <c r="CZ50" s="1">
        <v>2</v>
      </c>
      <c r="DA50" s="167">
        <f t="shared" si="50"/>
        <v>1.7</v>
      </c>
      <c r="DB50" s="1">
        <f>Alcantarillas!AX55</f>
        <v>10.85</v>
      </c>
      <c r="DC50" s="5">
        <f t="shared" si="51"/>
        <v>36.89</v>
      </c>
      <c r="DE50" s="172">
        <f t="shared" si="52"/>
        <v>0</v>
      </c>
      <c r="DF50" s="172">
        <f t="shared" si="53"/>
        <v>0</v>
      </c>
    </row>
    <row r="51" spans="2:110" x14ac:dyDescent="0.25">
      <c r="N51">
        <v>46</v>
      </c>
      <c r="O51" s="24">
        <f>Alcantarillas!E56</f>
        <v>12880.9</v>
      </c>
      <c r="P51" s="160">
        <f>IF(Alcantarillas!J56=1.2,1,0)</f>
        <v>0</v>
      </c>
      <c r="Q51" s="160">
        <f>IF(Alcantarillas!J56=1.3,1,0)</f>
        <v>0</v>
      </c>
      <c r="R51" s="160">
        <f>IF(Alcantarillas!J56=1.4,1,0)</f>
        <v>0</v>
      </c>
      <c r="S51" s="160">
        <f>IF(Alcantarillas!L56=1.2,1,0)</f>
        <v>0</v>
      </c>
      <c r="T51" s="160">
        <f>IF(Alcantarillas!L56=1.5,1,0)</f>
        <v>1</v>
      </c>
      <c r="V51" s="160">
        <f>IF(Alcantarillas!J56=1.2,Alcantarillas!AX56,0)</f>
        <v>0</v>
      </c>
      <c r="W51" s="160">
        <f>IF(Alcantarillas!J56=1.3,Alcantarillas!AX56,0)</f>
        <v>0</v>
      </c>
      <c r="X51" s="160">
        <f>IF(Alcantarillas!J56=1.4,Alcantarillas!AX56,0)</f>
        <v>0</v>
      </c>
      <c r="Y51" s="160">
        <f>IF(Alcantarillas!L56=1.2,Alcantarillas!AX56,0)</f>
        <v>0</v>
      </c>
      <c r="Z51" s="160">
        <f>IF(Alcantarillas!L56=1.5,Alcantarillas!AX56,0)</f>
        <v>13.85</v>
      </c>
      <c r="AB51" s="21">
        <v>2.2000000000000002</v>
      </c>
      <c r="AC51" s="5">
        <f t="shared" si="16"/>
        <v>2.5</v>
      </c>
      <c r="AD51" s="21">
        <v>0.2</v>
      </c>
      <c r="AE51" s="5">
        <f t="shared" si="17"/>
        <v>2.25</v>
      </c>
      <c r="AF51" s="5">
        <f t="shared" si="61"/>
        <v>-0.45</v>
      </c>
      <c r="AG51" s="21">
        <v>2.12</v>
      </c>
      <c r="AH51" s="5">
        <f t="shared" si="19"/>
        <v>3.1658666666666671</v>
      </c>
      <c r="AI51" s="5">
        <f t="shared" si="20"/>
        <v>0.63317333333333348</v>
      </c>
      <c r="AJ51" s="5">
        <f t="shared" si="21"/>
        <v>5.5</v>
      </c>
      <c r="AK51" s="5">
        <f t="shared" si="22"/>
        <v>6</v>
      </c>
      <c r="AL51" s="5">
        <f t="shared" si="23"/>
        <v>1.2000000000000002</v>
      </c>
      <c r="AM51" s="5">
        <f t="shared" si="24"/>
        <v>1.3831733333333336</v>
      </c>
      <c r="AO51" s="21">
        <v>2</v>
      </c>
      <c r="AP51" s="5">
        <f t="shared" si="25"/>
        <v>2.5</v>
      </c>
      <c r="AQ51" s="21">
        <v>0.2</v>
      </c>
      <c r="AR51" s="5">
        <f t="shared" si="26"/>
        <v>2.25</v>
      </c>
      <c r="AS51" s="5">
        <f t="shared" si="60"/>
        <v>0.65</v>
      </c>
      <c r="AT51" s="21">
        <v>2.12</v>
      </c>
      <c r="AU51" s="5">
        <f t="shared" si="28"/>
        <v>2.7418666666666667</v>
      </c>
      <c r="AV51" s="5">
        <f t="shared" si="29"/>
        <v>0.54837333333333338</v>
      </c>
      <c r="AW51" s="5">
        <f t="shared" si="30"/>
        <v>5.5</v>
      </c>
      <c r="AX51" s="5">
        <f t="shared" si="31"/>
        <v>6</v>
      </c>
      <c r="AY51" s="5">
        <f t="shared" si="32"/>
        <v>1.2000000000000002</v>
      </c>
      <c r="AZ51" s="5">
        <f t="shared" si="33"/>
        <v>2.3983733333333337</v>
      </c>
      <c r="BB51" s="163"/>
      <c r="BC51" s="118"/>
      <c r="BD51" s="118"/>
      <c r="BE51" s="118"/>
      <c r="BF51" s="118"/>
      <c r="BG51" s="183"/>
      <c r="BH51" s="163"/>
      <c r="BI51" s="167"/>
      <c r="BJ51" s="167"/>
      <c r="BK51" s="167"/>
      <c r="BL51" s="167"/>
      <c r="BN51" s="5">
        <f t="shared" si="64"/>
        <v>0</v>
      </c>
      <c r="BO51" s="5">
        <f t="shared" si="65"/>
        <v>0</v>
      </c>
      <c r="BP51" s="5">
        <f t="shared" si="66"/>
        <v>0</v>
      </c>
      <c r="BQ51" s="5">
        <f t="shared" si="67"/>
        <v>0</v>
      </c>
      <c r="BR51" s="5">
        <f t="shared" si="68"/>
        <v>3.7815466666666673</v>
      </c>
      <c r="BS51" s="163">
        <f t="shared" si="69"/>
        <v>0</v>
      </c>
      <c r="BT51" s="163">
        <f t="shared" si="70"/>
        <v>0</v>
      </c>
      <c r="BU51" s="163">
        <f t="shared" si="71"/>
        <v>0</v>
      </c>
      <c r="BV51" s="163">
        <f t="shared" si="72"/>
        <v>0</v>
      </c>
      <c r="BW51" s="163">
        <f t="shared" si="73"/>
        <v>1</v>
      </c>
      <c r="BX51" s="163">
        <f t="shared" si="74"/>
        <v>0</v>
      </c>
      <c r="BY51" s="163">
        <f t="shared" si="75"/>
        <v>0</v>
      </c>
      <c r="BZ51" s="163">
        <f t="shared" si="76"/>
        <v>0</v>
      </c>
      <c r="CA51" s="163">
        <f t="shared" si="77"/>
        <v>0</v>
      </c>
      <c r="CB51" s="163">
        <f t="shared" si="78"/>
        <v>1</v>
      </c>
      <c r="CC51" s="163">
        <f t="shared" si="34"/>
        <v>0</v>
      </c>
      <c r="CD51" s="163">
        <f t="shared" si="35"/>
        <v>0</v>
      </c>
      <c r="CE51" s="163">
        <f t="shared" si="36"/>
        <v>0</v>
      </c>
      <c r="CF51" s="163">
        <f t="shared" si="37"/>
        <v>0</v>
      </c>
      <c r="CG51" s="163">
        <f t="shared" si="38"/>
        <v>2</v>
      </c>
      <c r="CI51" s="167"/>
      <c r="CJ51" s="167"/>
      <c r="CK51" s="5"/>
      <c r="CL51" s="5" t="str">
        <f t="shared" si="39"/>
        <v/>
      </c>
      <c r="CM51" s="5" t="str">
        <f t="shared" si="40"/>
        <v/>
      </c>
      <c r="CN51" s="5" t="str">
        <f t="shared" si="41"/>
        <v/>
      </c>
      <c r="CO51" s="5"/>
      <c r="CP51" s="5" t="str">
        <f t="shared" si="54"/>
        <v/>
      </c>
      <c r="CQ51" s="5" t="str">
        <f t="shared" si="43"/>
        <v/>
      </c>
      <c r="CR51" s="5" t="str">
        <f t="shared" si="44"/>
        <v/>
      </c>
      <c r="CS51" s="5" t="str">
        <f t="shared" si="45"/>
        <v/>
      </c>
      <c r="CT51" s="50">
        <f t="shared" si="46"/>
        <v>0</v>
      </c>
      <c r="CU51" s="50">
        <f t="shared" si="47"/>
        <v>0</v>
      </c>
      <c r="CV51" s="50">
        <f t="shared" si="48"/>
        <v>0</v>
      </c>
      <c r="CW51" s="50">
        <f t="shared" si="49"/>
        <v>0</v>
      </c>
      <c r="CX51" s="190">
        <f t="shared" si="55"/>
        <v>0</v>
      </c>
      <c r="CZ51" s="1">
        <v>2.4</v>
      </c>
      <c r="DA51" s="167">
        <f t="shared" si="50"/>
        <v>1.8</v>
      </c>
      <c r="DB51" s="1">
        <f>Alcantarillas!AX56</f>
        <v>13.85</v>
      </c>
      <c r="DC51" s="5">
        <f t="shared" si="51"/>
        <v>59.832000000000001</v>
      </c>
      <c r="DE51" s="172">
        <f t="shared" si="52"/>
        <v>0</v>
      </c>
      <c r="DF51" s="172">
        <f t="shared" si="53"/>
        <v>0</v>
      </c>
    </row>
    <row r="52" spans="2:110" x14ac:dyDescent="0.25">
      <c r="I52" s="59"/>
      <c r="N52">
        <v>47</v>
      </c>
      <c r="O52" s="24">
        <f>Alcantarillas!E57</f>
        <v>13360</v>
      </c>
      <c r="P52" s="160">
        <f>IF(Alcantarillas!J57=1.2,1,0)</f>
        <v>1</v>
      </c>
      <c r="Q52" s="160">
        <f>IF(Alcantarillas!J57=1.3,1,0)</f>
        <v>0</v>
      </c>
      <c r="R52" s="160">
        <f>IF(Alcantarillas!J57=1.4,1,0)</f>
        <v>0</v>
      </c>
      <c r="S52" s="160">
        <f>IF(Alcantarillas!L57=1.2,1,0)</f>
        <v>0</v>
      </c>
      <c r="T52" s="160">
        <f>IF(Alcantarillas!L57=1.5,1,0)</f>
        <v>0</v>
      </c>
      <c r="V52" s="160">
        <f>IF(Alcantarillas!J57=1.2,Alcantarillas!AX57,0)</f>
        <v>10.8</v>
      </c>
      <c r="W52" s="160">
        <f>IF(Alcantarillas!J57=1.3,Alcantarillas!AX57,0)</f>
        <v>0</v>
      </c>
      <c r="X52" s="160">
        <f>IF(Alcantarillas!J57=1.4,Alcantarillas!AX57,0)</f>
        <v>0</v>
      </c>
      <c r="Y52" s="160">
        <f>IF(Alcantarillas!L57=1.2,Alcantarillas!AX57,0)</f>
        <v>0</v>
      </c>
      <c r="Z52" s="160">
        <f>IF(Alcantarillas!L57=1.5,Alcantarillas!AX57,0)</f>
        <v>0</v>
      </c>
      <c r="AB52" s="21"/>
      <c r="AC52" s="5">
        <f t="shared" si="16"/>
        <v>2.2000000000000002</v>
      </c>
      <c r="AD52" s="21"/>
      <c r="AE52" s="5">
        <f t="shared" si="17"/>
        <v>1.1309733552923256</v>
      </c>
      <c r="AF52" s="5">
        <f t="shared" si="61"/>
        <v>0</v>
      </c>
      <c r="AG52" s="21"/>
      <c r="AH52" s="5">
        <f t="shared" si="19"/>
        <v>0</v>
      </c>
      <c r="AI52" s="5">
        <f t="shared" si="20"/>
        <v>0</v>
      </c>
      <c r="AJ52" s="5">
        <f t="shared" si="21"/>
        <v>5.2</v>
      </c>
      <c r="AK52" s="5">
        <f t="shared" si="22"/>
        <v>5.5500000000000007</v>
      </c>
      <c r="AL52" s="5">
        <f t="shared" si="23"/>
        <v>0</v>
      </c>
      <c r="AM52" s="5">
        <f t="shared" si="24"/>
        <v>0</v>
      </c>
      <c r="AO52" s="21">
        <v>2.2000000000000002</v>
      </c>
      <c r="AP52" s="5">
        <f t="shared" si="25"/>
        <v>2.2000000000000002</v>
      </c>
      <c r="AQ52" s="21">
        <v>0.2</v>
      </c>
      <c r="AR52" s="5">
        <f t="shared" si="26"/>
        <v>1.1309733552923256</v>
      </c>
      <c r="AS52" s="5">
        <f t="shared" si="60"/>
        <v>0.82980532894153503</v>
      </c>
      <c r="AT52" s="21">
        <v>2.12</v>
      </c>
      <c r="AU52" s="5">
        <f t="shared" si="28"/>
        <v>3.1658666666666671</v>
      </c>
      <c r="AV52" s="5">
        <f t="shared" si="29"/>
        <v>0.63317333333333348</v>
      </c>
      <c r="AW52" s="5">
        <f t="shared" si="30"/>
        <v>5.2</v>
      </c>
      <c r="AX52" s="5">
        <f t="shared" si="31"/>
        <v>5.5500000000000007</v>
      </c>
      <c r="AY52" s="5">
        <f t="shared" si="32"/>
        <v>1.1100000000000001</v>
      </c>
      <c r="AZ52" s="5">
        <f t="shared" si="33"/>
        <v>2.5729786622748687</v>
      </c>
      <c r="BB52" s="163"/>
      <c r="BC52" s="118"/>
      <c r="BD52" s="118"/>
      <c r="BE52" s="118"/>
      <c r="BF52" s="118"/>
      <c r="BG52" s="183"/>
      <c r="BH52" s="163"/>
      <c r="BI52" s="167"/>
      <c r="BJ52" s="167"/>
      <c r="BK52" s="167"/>
      <c r="BL52" s="167"/>
      <c r="BN52" s="5">
        <f t="shared" si="64"/>
        <v>2.5729786622748687</v>
      </c>
      <c r="BO52" s="5">
        <f t="shared" si="65"/>
        <v>0</v>
      </c>
      <c r="BP52" s="5">
        <f t="shared" si="66"/>
        <v>0</v>
      </c>
      <c r="BQ52" s="5">
        <f t="shared" si="67"/>
        <v>0</v>
      </c>
      <c r="BR52" s="5">
        <f t="shared" si="68"/>
        <v>0</v>
      </c>
      <c r="BS52" s="163">
        <f t="shared" si="69"/>
        <v>0</v>
      </c>
      <c r="BT52" s="163">
        <f t="shared" si="70"/>
        <v>0</v>
      </c>
      <c r="BU52" s="163">
        <f t="shared" si="71"/>
        <v>0</v>
      </c>
      <c r="BV52" s="163">
        <f t="shared" si="72"/>
        <v>0</v>
      </c>
      <c r="BW52" s="163">
        <f t="shared" si="73"/>
        <v>0</v>
      </c>
      <c r="BX52" s="163">
        <f t="shared" si="74"/>
        <v>1</v>
      </c>
      <c r="BY52" s="163">
        <f t="shared" si="75"/>
        <v>0</v>
      </c>
      <c r="BZ52" s="163">
        <f t="shared" si="76"/>
        <v>0</v>
      </c>
      <c r="CA52" s="163">
        <f t="shared" si="77"/>
        <v>0</v>
      </c>
      <c r="CB52" s="163">
        <f t="shared" si="78"/>
        <v>0</v>
      </c>
      <c r="CC52" s="163">
        <f t="shared" si="34"/>
        <v>1</v>
      </c>
      <c r="CD52" s="163">
        <f t="shared" si="35"/>
        <v>0</v>
      </c>
      <c r="CE52" s="163">
        <f t="shared" si="36"/>
        <v>0</v>
      </c>
      <c r="CF52" s="163">
        <f t="shared" si="37"/>
        <v>0</v>
      </c>
      <c r="CG52" s="163">
        <f t="shared" si="38"/>
        <v>0</v>
      </c>
      <c r="CI52" s="167">
        <v>2.1</v>
      </c>
      <c r="CJ52" s="167">
        <v>4.2</v>
      </c>
      <c r="CK52" s="5">
        <f t="shared" si="56"/>
        <v>6.9300000000000015</v>
      </c>
      <c r="CL52" s="5">
        <f t="shared" si="39"/>
        <v>1.7</v>
      </c>
      <c r="CM52" s="5" t="str">
        <f t="shared" si="40"/>
        <v/>
      </c>
      <c r="CN52" s="5" t="str">
        <f t="shared" si="41"/>
        <v/>
      </c>
      <c r="CO52" s="5" t="str">
        <f t="shared" si="42"/>
        <v/>
      </c>
      <c r="CP52" s="5">
        <f t="shared" si="54"/>
        <v>1.8614999999999997</v>
      </c>
      <c r="CQ52" s="5" t="str">
        <f t="shared" si="43"/>
        <v/>
      </c>
      <c r="CR52" s="5" t="str">
        <f t="shared" si="44"/>
        <v/>
      </c>
      <c r="CS52" s="5" t="str">
        <f t="shared" si="45"/>
        <v/>
      </c>
      <c r="CT52" s="50">
        <f t="shared" si="46"/>
        <v>1</v>
      </c>
      <c r="CU52" s="50">
        <f t="shared" si="47"/>
        <v>0</v>
      </c>
      <c r="CV52" s="50">
        <f t="shared" si="48"/>
        <v>0</v>
      </c>
      <c r="CW52" s="50">
        <f t="shared" si="49"/>
        <v>0</v>
      </c>
      <c r="CX52" s="190">
        <f t="shared" si="55"/>
        <v>1</v>
      </c>
      <c r="CZ52" s="1">
        <v>2</v>
      </c>
      <c r="DA52" s="167">
        <f t="shared" si="50"/>
        <v>1.7</v>
      </c>
      <c r="DB52" s="1">
        <f>Alcantarillas!AX57</f>
        <v>10.8</v>
      </c>
      <c r="DC52" s="5">
        <f t="shared" si="51"/>
        <v>36.72</v>
      </c>
      <c r="DE52" s="172">
        <f t="shared" si="52"/>
        <v>0</v>
      </c>
      <c r="DF52" s="172">
        <f t="shared" si="53"/>
        <v>0</v>
      </c>
    </row>
    <row r="53" spans="2:110" x14ac:dyDescent="0.25">
      <c r="C53" s="19" t="s">
        <v>368</v>
      </c>
      <c r="N53">
        <v>48</v>
      </c>
      <c r="O53" s="24">
        <f>Alcantarillas!E58</f>
        <v>13805.4</v>
      </c>
      <c r="P53" s="160">
        <f>IF(Alcantarillas!J58=1.2,1,0)</f>
        <v>1</v>
      </c>
      <c r="Q53" s="160">
        <f>IF(Alcantarillas!J58=1.3,1,0)</f>
        <v>0</v>
      </c>
      <c r="R53" s="160">
        <f>IF(Alcantarillas!J58=1.4,1,0)</f>
        <v>0</v>
      </c>
      <c r="S53" s="160">
        <f>IF(Alcantarillas!L58=1.2,1,0)</f>
        <v>0</v>
      </c>
      <c r="T53" s="160">
        <f>IF(Alcantarillas!L58=1.5,1,0)</f>
        <v>0</v>
      </c>
      <c r="V53" s="160">
        <f>IF(Alcantarillas!J58=1.2,Alcantarillas!AX58,0)</f>
        <v>8.65</v>
      </c>
      <c r="W53" s="160">
        <f>IF(Alcantarillas!J58=1.3,Alcantarillas!AX58,0)</f>
        <v>0</v>
      </c>
      <c r="X53" s="160">
        <f>IF(Alcantarillas!J58=1.4,Alcantarillas!AX58,0)</f>
        <v>0</v>
      </c>
      <c r="Y53" s="160">
        <f>IF(Alcantarillas!L58=1.2,Alcantarillas!AX58,0)</f>
        <v>0</v>
      </c>
      <c r="Z53" s="160">
        <f>IF(Alcantarillas!L58=1.5,Alcantarillas!AX58,0)</f>
        <v>0</v>
      </c>
      <c r="AB53" s="21"/>
      <c r="AC53" s="5">
        <f t="shared" si="16"/>
        <v>2.2000000000000002</v>
      </c>
      <c r="AD53" s="21"/>
      <c r="AE53" s="5">
        <f t="shared" si="17"/>
        <v>1.1309733552923256</v>
      </c>
      <c r="AF53" s="5">
        <f t="shared" si="61"/>
        <v>0</v>
      </c>
      <c r="AG53" s="21"/>
      <c r="AH53" s="5">
        <f t="shared" si="19"/>
        <v>0</v>
      </c>
      <c r="AI53" s="5">
        <f t="shared" si="20"/>
        <v>0</v>
      </c>
      <c r="AJ53" s="5">
        <f t="shared" si="21"/>
        <v>5.2</v>
      </c>
      <c r="AK53" s="5">
        <f t="shared" si="22"/>
        <v>5.5500000000000007</v>
      </c>
      <c r="AL53" s="5">
        <f t="shared" si="23"/>
        <v>0</v>
      </c>
      <c r="AM53" s="5">
        <f t="shared" si="24"/>
        <v>0</v>
      </c>
      <c r="AO53" s="21">
        <v>2.4</v>
      </c>
      <c r="AP53" s="5">
        <f t="shared" si="25"/>
        <v>2.2000000000000002</v>
      </c>
      <c r="AQ53" s="21">
        <v>0.2</v>
      </c>
      <c r="AR53" s="5">
        <f t="shared" si="26"/>
        <v>1.1309733552923256</v>
      </c>
      <c r="AS53" s="5">
        <f t="shared" si="60"/>
        <v>0.52180532894153497</v>
      </c>
      <c r="AT53" s="21">
        <v>2.12</v>
      </c>
      <c r="AU53" s="5">
        <f t="shared" si="28"/>
        <v>3.5898666666666665</v>
      </c>
      <c r="AV53" s="5">
        <f t="shared" si="29"/>
        <v>0.71797333333333335</v>
      </c>
      <c r="AW53" s="5">
        <f t="shared" si="30"/>
        <v>5.2</v>
      </c>
      <c r="AX53" s="5">
        <f t="shared" si="31"/>
        <v>5.5500000000000007</v>
      </c>
      <c r="AY53" s="5">
        <f t="shared" si="32"/>
        <v>1.1100000000000001</v>
      </c>
      <c r="AZ53" s="5">
        <f t="shared" si="33"/>
        <v>2.3497786622748684</v>
      </c>
      <c r="BB53" s="163">
        <v>18</v>
      </c>
      <c r="BC53" s="118">
        <f t="shared" si="58"/>
        <v>27</v>
      </c>
      <c r="BD53" s="118">
        <f t="shared" si="57"/>
        <v>194.4</v>
      </c>
      <c r="BE53" s="118">
        <v>15</v>
      </c>
      <c r="BF53" s="118">
        <f t="shared" si="59"/>
        <v>108</v>
      </c>
      <c r="BG53" s="183"/>
      <c r="BH53" s="163"/>
      <c r="BI53" s="167"/>
      <c r="BJ53" s="167"/>
      <c r="BK53" s="167"/>
      <c r="BL53" s="167"/>
      <c r="BN53" s="5">
        <f t="shared" si="64"/>
        <v>2.3497786622748684</v>
      </c>
      <c r="BO53" s="5">
        <f t="shared" si="65"/>
        <v>0</v>
      </c>
      <c r="BP53" s="5">
        <f t="shared" si="66"/>
        <v>0</v>
      </c>
      <c r="BQ53" s="5">
        <f t="shared" si="67"/>
        <v>0</v>
      </c>
      <c r="BR53" s="5">
        <f t="shared" si="68"/>
        <v>0</v>
      </c>
      <c r="BS53" s="163">
        <f t="shared" si="69"/>
        <v>0</v>
      </c>
      <c r="BT53" s="163">
        <f t="shared" si="70"/>
        <v>0</v>
      </c>
      <c r="BU53" s="163">
        <f t="shared" si="71"/>
        <v>0</v>
      </c>
      <c r="BV53" s="163">
        <f t="shared" si="72"/>
        <v>0</v>
      </c>
      <c r="BW53" s="163">
        <f t="shared" si="73"/>
        <v>0</v>
      </c>
      <c r="BX53" s="163">
        <f t="shared" si="74"/>
        <v>1</v>
      </c>
      <c r="BY53" s="163">
        <f t="shared" si="75"/>
        <v>0</v>
      </c>
      <c r="BZ53" s="163">
        <f t="shared" si="76"/>
        <v>0</v>
      </c>
      <c r="CA53" s="163">
        <f t="shared" si="77"/>
        <v>0</v>
      </c>
      <c r="CB53" s="163">
        <f t="shared" si="78"/>
        <v>0</v>
      </c>
      <c r="CC53" s="163">
        <f t="shared" si="34"/>
        <v>1</v>
      </c>
      <c r="CD53" s="163">
        <f t="shared" si="35"/>
        <v>0</v>
      </c>
      <c r="CE53" s="163">
        <f t="shared" si="36"/>
        <v>0</v>
      </c>
      <c r="CF53" s="163">
        <f t="shared" si="37"/>
        <v>0</v>
      </c>
      <c r="CG53" s="163">
        <f t="shared" si="38"/>
        <v>0</v>
      </c>
      <c r="CI53" s="167">
        <v>2.1</v>
      </c>
      <c r="CJ53" s="167">
        <v>2.5</v>
      </c>
      <c r="CK53" s="5">
        <f t="shared" si="56"/>
        <v>5.0599999999999996</v>
      </c>
      <c r="CL53" s="5">
        <f t="shared" si="39"/>
        <v>1.7</v>
      </c>
      <c r="CM53" s="5" t="str">
        <f t="shared" si="40"/>
        <v/>
      </c>
      <c r="CN53" s="5" t="str">
        <f t="shared" si="41"/>
        <v/>
      </c>
      <c r="CO53" s="5" t="str">
        <f t="shared" si="42"/>
        <v/>
      </c>
      <c r="CP53" s="5">
        <f t="shared" si="54"/>
        <v>1.4279999999999999</v>
      </c>
      <c r="CQ53" s="5" t="str">
        <f t="shared" si="43"/>
        <v/>
      </c>
      <c r="CR53" s="5" t="str">
        <f t="shared" si="44"/>
        <v/>
      </c>
      <c r="CS53" s="5" t="str">
        <f t="shared" si="45"/>
        <v/>
      </c>
      <c r="CT53" s="50">
        <f t="shared" si="46"/>
        <v>1</v>
      </c>
      <c r="CU53" s="50">
        <f t="shared" si="47"/>
        <v>0</v>
      </c>
      <c r="CV53" s="50">
        <f t="shared" si="48"/>
        <v>0</v>
      </c>
      <c r="CW53" s="50">
        <f t="shared" si="49"/>
        <v>0</v>
      </c>
      <c r="CX53" s="190">
        <f t="shared" si="55"/>
        <v>1</v>
      </c>
      <c r="CZ53" s="1">
        <v>2</v>
      </c>
      <c r="DA53" s="167">
        <f t="shared" si="50"/>
        <v>1.7</v>
      </c>
      <c r="DB53" s="1">
        <f>Alcantarillas!AX58</f>
        <v>8.65</v>
      </c>
      <c r="DC53" s="5">
        <f t="shared" si="51"/>
        <v>29.41</v>
      </c>
      <c r="DE53" s="172">
        <f t="shared" si="52"/>
        <v>702</v>
      </c>
      <c r="DF53" s="172">
        <f t="shared" si="53"/>
        <v>0</v>
      </c>
    </row>
    <row r="54" spans="2:110" x14ac:dyDescent="0.25">
      <c r="H54" s="261" t="s">
        <v>379</v>
      </c>
      <c r="I54" s="262"/>
      <c r="N54">
        <v>49</v>
      </c>
      <c r="O54" s="24">
        <f>Alcantarillas!E59</f>
        <v>14070</v>
      </c>
      <c r="P54" s="160">
        <f>IF(Alcantarillas!J59=1.2,1,0)</f>
        <v>1</v>
      </c>
      <c r="Q54" s="160">
        <f>IF(Alcantarillas!J59=1.3,1,0)</f>
        <v>0</v>
      </c>
      <c r="R54" s="160">
        <f>IF(Alcantarillas!J59=1.4,1,0)</f>
        <v>0</v>
      </c>
      <c r="S54" s="160">
        <f>IF(Alcantarillas!L59=1.2,1,0)</f>
        <v>0</v>
      </c>
      <c r="T54" s="160">
        <f>IF(Alcantarillas!L59=1.5,1,0)</f>
        <v>0</v>
      </c>
      <c r="V54" s="160">
        <f>IF(Alcantarillas!J59=1.2,Alcantarillas!AX59,0)</f>
        <v>14.4</v>
      </c>
      <c r="W54" s="160">
        <f>IF(Alcantarillas!J59=1.3,Alcantarillas!AX59,0)</f>
        <v>0</v>
      </c>
      <c r="X54" s="160">
        <f>IF(Alcantarillas!J59=1.4,Alcantarillas!AX59,0)</f>
        <v>0</v>
      </c>
      <c r="Y54" s="160">
        <f>IF(Alcantarillas!L59=1.2,Alcantarillas!AX59,0)</f>
        <v>0</v>
      </c>
      <c r="Z54" s="160">
        <f>IF(Alcantarillas!L59=1.5,Alcantarillas!AX59,0)</f>
        <v>0</v>
      </c>
      <c r="AB54" s="21"/>
      <c r="AC54" s="5">
        <f t="shared" si="16"/>
        <v>2.2000000000000002</v>
      </c>
      <c r="AD54" s="21"/>
      <c r="AE54" s="5">
        <f t="shared" si="17"/>
        <v>1.1309733552923256</v>
      </c>
      <c r="AF54" s="5">
        <f t="shared" si="61"/>
        <v>0</v>
      </c>
      <c r="AG54" s="21"/>
      <c r="AH54" s="5">
        <f t="shared" si="19"/>
        <v>0</v>
      </c>
      <c r="AI54" s="5">
        <f t="shared" si="20"/>
        <v>0</v>
      </c>
      <c r="AJ54" s="5">
        <f t="shared" si="21"/>
        <v>5.2</v>
      </c>
      <c r="AK54" s="5">
        <f t="shared" si="22"/>
        <v>5.5500000000000007</v>
      </c>
      <c r="AL54" s="5">
        <f t="shared" si="23"/>
        <v>0</v>
      </c>
      <c r="AM54" s="5">
        <f t="shared" si="24"/>
        <v>0</v>
      </c>
      <c r="AO54" s="21">
        <v>1.7</v>
      </c>
      <c r="AP54" s="5">
        <f t="shared" si="25"/>
        <v>2.2000000000000002</v>
      </c>
      <c r="AQ54" s="21">
        <v>0.2</v>
      </c>
      <c r="AR54" s="5">
        <f t="shared" si="26"/>
        <v>1.1309733552923256</v>
      </c>
      <c r="AS54" s="5">
        <f t="shared" si="60"/>
        <v>1.1158053289415351</v>
      </c>
      <c r="AT54" s="21">
        <v>2.12</v>
      </c>
      <c r="AU54" s="5">
        <f t="shared" si="28"/>
        <v>2.1058666666666666</v>
      </c>
      <c r="AV54" s="5">
        <f t="shared" si="29"/>
        <v>0.42117333333333334</v>
      </c>
      <c r="AW54" s="5">
        <f t="shared" si="30"/>
        <v>5.2</v>
      </c>
      <c r="AX54" s="5">
        <f t="shared" si="31"/>
        <v>5.5500000000000007</v>
      </c>
      <c r="AY54" s="5">
        <f t="shared" si="32"/>
        <v>1.1100000000000001</v>
      </c>
      <c r="AZ54" s="5">
        <f t="shared" si="33"/>
        <v>2.6469786622748686</v>
      </c>
      <c r="BB54" s="163"/>
      <c r="BC54" s="118"/>
      <c r="BD54" s="118"/>
      <c r="BE54" s="118"/>
      <c r="BF54" s="118"/>
      <c r="BG54" s="183"/>
      <c r="BH54" s="163"/>
      <c r="BI54" s="167"/>
      <c r="BJ54" s="167"/>
      <c r="BK54" s="167"/>
      <c r="BL54" s="167"/>
      <c r="BN54" s="5">
        <f t="shared" si="64"/>
        <v>2.6469786622748686</v>
      </c>
      <c r="BO54" s="5">
        <f t="shared" si="65"/>
        <v>0</v>
      </c>
      <c r="BP54" s="5">
        <f t="shared" si="66"/>
        <v>0</v>
      </c>
      <c r="BQ54" s="5">
        <f t="shared" si="67"/>
        <v>0</v>
      </c>
      <c r="BR54" s="5">
        <f t="shared" si="68"/>
        <v>0</v>
      </c>
      <c r="BS54" s="163">
        <f t="shared" si="69"/>
        <v>0</v>
      </c>
      <c r="BT54" s="163">
        <f t="shared" si="70"/>
        <v>0</v>
      </c>
      <c r="BU54" s="163">
        <f t="shared" si="71"/>
        <v>0</v>
      </c>
      <c r="BV54" s="163">
        <f t="shared" si="72"/>
        <v>0</v>
      </c>
      <c r="BW54" s="163">
        <f t="shared" si="73"/>
        <v>0</v>
      </c>
      <c r="BX54" s="163">
        <f t="shared" si="74"/>
        <v>1</v>
      </c>
      <c r="BY54" s="163">
        <f t="shared" si="75"/>
        <v>0</v>
      </c>
      <c r="BZ54" s="163">
        <f t="shared" si="76"/>
        <v>0</v>
      </c>
      <c r="CA54" s="163">
        <f t="shared" si="77"/>
        <v>0</v>
      </c>
      <c r="CB54" s="163">
        <f t="shared" si="78"/>
        <v>0</v>
      </c>
      <c r="CC54" s="163">
        <f t="shared" si="34"/>
        <v>1</v>
      </c>
      <c r="CD54" s="163">
        <f t="shared" si="35"/>
        <v>0</v>
      </c>
      <c r="CE54" s="163">
        <f t="shared" si="36"/>
        <v>0</v>
      </c>
      <c r="CF54" s="163">
        <f t="shared" si="37"/>
        <v>0</v>
      </c>
      <c r="CG54" s="163">
        <f t="shared" si="38"/>
        <v>0</v>
      </c>
      <c r="CI54" s="167">
        <v>2.8</v>
      </c>
      <c r="CJ54" s="167">
        <v>2.6</v>
      </c>
      <c r="CK54" s="5">
        <f t="shared" si="56"/>
        <v>5.9400000000000013</v>
      </c>
      <c r="CL54" s="5">
        <f t="shared" si="39"/>
        <v>1.7</v>
      </c>
      <c r="CM54" s="5" t="str">
        <f t="shared" si="40"/>
        <v/>
      </c>
      <c r="CN54" s="5" t="str">
        <f t="shared" si="41"/>
        <v/>
      </c>
      <c r="CO54" s="5" t="str">
        <f t="shared" si="42"/>
        <v/>
      </c>
      <c r="CP54" s="5">
        <f t="shared" si="54"/>
        <v>1.6319999999999999</v>
      </c>
      <c r="CQ54" s="5" t="str">
        <f t="shared" si="43"/>
        <v/>
      </c>
      <c r="CR54" s="5" t="str">
        <f t="shared" si="44"/>
        <v/>
      </c>
      <c r="CS54" s="5" t="str">
        <f t="shared" si="45"/>
        <v/>
      </c>
      <c r="CT54" s="50">
        <f t="shared" si="46"/>
        <v>1</v>
      </c>
      <c r="CU54" s="50">
        <f t="shared" si="47"/>
        <v>0</v>
      </c>
      <c r="CV54" s="50">
        <f t="shared" si="48"/>
        <v>0</v>
      </c>
      <c r="CW54" s="50">
        <f t="shared" si="49"/>
        <v>0</v>
      </c>
      <c r="CX54" s="190">
        <f t="shared" si="55"/>
        <v>1</v>
      </c>
      <c r="CZ54" s="1">
        <v>1.9</v>
      </c>
      <c r="DA54" s="167">
        <f t="shared" si="50"/>
        <v>1.7</v>
      </c>
      <c r="DB54" s="1">
        <f>Alcantarillas!AX59</f>
        <v>14.4</v>
      </c>
      <c r="DC54" s="5">
        <f t="shared" si="51"/>
        <v>46.512</v>
      </c>
      <c r="DE54" s="172">
        <f t="shared" si="52"/>
        <v>0</v>
      </c>
      <c r="DF54" s="172">
        <f t="shared" si="53"/>
        <v>0</v>
      </c>
    </row>
    <row r="55" spans="2:110" x14ac:dyDescent="0.25">
      <c r="B55" s="240" t="s">
        <v>192</v>
      </c>
      <c r="C55" s="240"/>
      <c r="D55" s="240"/>
      <c r="E55" s="217" t="s">
        <v>43</v>
      </c>
      <c r="F55" s="173" t="s">
        <v>205</v>
      </c>
      <c r="G55" s="191" t="s">
        <v>373</v>
      </c>
      <c r="H55" s="191" t="s">
        <v>86</v>
      </c>
      <c r="I55" s="191" t="s">
        <v>329</v>
      </c>
      <c r="N55">
        <v>50</v>
      </c>
      <c r="O55" s="24">
        <f>Alcantarillas!E60</f>
        <v>14724</v>
      </c>
      <c r="P55" s="160">
        <f>IF(Alcantarillas!J60=1.2,1,0)</f>
        <v>1</v>
      </c>
      <c r="Q55" s="160">
        <f>IF(Alcantarillas!J60=1.3,1,0)</f>
        <v>0</v>
      </c>
      <c r="R55" s="160">
        <f>IF(Alcantarillas!J60=1.4,1,0)</f>
        <v>0</v>
      </c>
      <c r="S55" s="160">
        <f>IF(Alcantarillas!L60=1.2,1,0)</f>
        <v>0</v>
      </c>
      <c r="T55" s="160">
        <f>IF(Alcantarillas!L60=1.5,1,0)</f>
        <v>0</v>
      </c>
      <c r="V55" s="160">
        <f>IF(Alcantarillas!J60=1.2,Alcantarillas!AX60,0)</f>
        <v>13.5</v>
      </c>
      <c r="W55" s="160">
        <f>IF(Alcantarillas!J60=1.3,Alcantarillas!AX60,0)</f>
        <v>0</v>
      </c>
      <c r="X55" s="160">
        <f>IF(Alcantarillas!J60=1.4,Alcantarillas!AX60,0)</f>
        <v>0</v>
      </c>
      <c r="Y55" s="160">
        <f>IF(Alcantarillas!L60=1.2,Alcantarillas!AX60,0)</f>
        <v>0</v>
      </c>
      <c r="Z55" s="160">
        <f>IF(Alcantarillas!L60=1.5,Alcantarillas!AX60,0)</f>
        <v>0</v>
      </c>
      <c r="AB55" s="21"/>
      <c r="AC55" s="5">
        <f t="shared" si="16"/>
        <v>2.2000000000000002</v>
      </c>
      <c r="AD55" s="21"/>
      <c r="AE55" s="5">
        <f t="shared" si="17"/>
        <v>1.1309733552923256</v>
      </c>
      <c r="AF55" s="5">
        <f t="shared" si="61"/>
        <v>0</v>
      </c>
      <c r="AG55" s="21"/>
      <c r="AH55" s="5">
        <f t="shared" si="19"/>
        <v>0</v>
      </c>
      <c r="AI55" s="5">
        <f t="shared" si="20"/>
        <v>0</v>
      </c>
      <c r="AJ55" s="5">
        <f t="shared" si="21"/>
        <v>5.2</v>
      </c>
      <c r="AK55" s="5">
        <f t="shared" si="22"/>
        <v>5.5500000000000007</v>
      </c>
      <c r="AL55" s="5">
        <f t="shared" si="23"/>
        <v>0</v>
      </c>
      <c r="AM55" s="5">
        <f t="shared" si="24"/>
        <v>0</v>
      </c>
      <c r="AO55" s="21">
        <v>3.05</v>
      </c>
      <c r="AP55" s="5">
        <f t="shared" si="25"/>
        <v>2.2000000000000002</v>
      </c>
      <c r="AQ55" s="21">
        <v>0.2</v>
      </c>
      <c r="AR55" s="5">
        <f t="shared" si="26"/>
        <v>1.1309733552923256</v>
      </c>
      <c r="AS55" s="5">
        <f t="shared" si="60"/>
        <v>0.4338053289415349</v>
      </c>
      <c r="AT55" s="21">
        <v>2.12</v>
      </c>
      <c r="AU55" s="5">
        <f t="shared" si="28"/>
        <v>4.9678666666666667</v>
      </c>
      <c r="AV55" s="5">
        <f t="shared" si="29"/>
        <v>0.99357333333333342</v>
      </c>
      <c r="AW55" s="5">
        <f t="shared" si="30"/>
        <v>5.2</v>
      </c>
      <c r="AX55" s="5">
        <f t="shared" si="31"/>
        <v>5.5500000000000007</v>
      </c>
      <c r="AY55" s="5">
        <f t="shared" si="32"/>
        <v>1.1100000000000001</v>
      </c>
      <c r="AZ55" s="5">
        <f t="shared" si="33"/>
        <v>2.5373786622748682</v>
      </c>
      <c r="BB55" s="163">
        <v>18</v>
      </c>
      <c r="BC55" s="118">
        <f t="shared" si="58"/>
        <v>27</v>
      </c>
      <c r="BD55" s="118">
        <f t="shared" si="57"/>
        <v>194.4</v>
      </c>
      <c r="BE55" s="118">
        <v>15</v>
      </c>
      <c r="BF55" s="118">
        <f t="shared" si="59"/>
        <v>108</v>
      </c>
      <c r="BG55" s="183"/>
      <c r="BH55" s="163"/>
      <c r="BI55" s="167"/>
      <c r="BJ55" s="167"/>
      <c r="BK55" s="167"/>
      <c r="BL55" s="167"/>
      <c r="BN55" s="5">
        <f t="shared" si="64"/>
        <v>2.5373786622748682</v>
      </c>
      <c r="BO55" s="5">
        <f t="shared" si="65"/>
        <v>0</v>
      </c>
      <c r="BP55" s="5">
        <f t="shared" si="66"/>
        <v>0</v>
      </c>
      <c r="BQ55" s="5">
        <f t="shared" si="67"/>
        <v>0</v>
      </c>
      <c r="BR55" s="5">
        <f t="shared" si="68"/>
        <v>0</v>
      </c>
      <c r="BS55" s="163">
        <f t="shared" si="69"/>
        <v>0</v>
      </c>
      <c r="BT55" s="163">
        <f t="shared" si="70"/>
        <v>0</v>
      </c>
      <c r="BU55" s="163">
        <f t="shared" si="71"/>
        <v>0</v>
      </c>
      <c r="BV55" s="163">
        <f t="shared" si="72"/>
        <v>0</v>
      </c>
      <c r="BW55" s="163">
        <f t="shared" si="73"/>
        <v>0</v>
      </c>
      <c r="BX55" s="163">
        <f t="shared" si="74"/>
        <v>1</v>
      </c>
      <c r="BY55" s="163">
        <f t="shared" si="75"/>
        <v>0</v>
      </c>
      <c r="BZ55" s="163">
        <f t="shared" si="76"/>
        <v>0</v>
      </c>
      <c r="CA55" s="163">
        <f t="shared" si="77"/>
        <v>0</v>
      </c>
      <c r="CB55" s="163">
        <f t="shared" si="78"/>
        <v>0</v>
      </c>
      <c r="CC55" s="163">
        <f t="shared" si="34"/>
        <v>1</v>
      </c>
      <c r="CD55" s="163">
        <f t="shared" si="35"/>
        <v>0</v>
      </c>
      <c r="CE55" s="163">
        <f t="shared" si="36"/>
        <v>0</v>
      </c>
      <c r="CF55" s="163">
        <f t="shared" si="37"/>
        <v>0</v>
      </c>
      <c r="CG55" s="163">
        <f t="shared" si="38"/>
        <v>0</v>
      </c>
      <c r="CI55" s="167">
        <v>1.4</v>
      </c>
      <c r="CJ55" s="167">
        <v>2.4</v>
      </c>
      <c r="CK55" s="5">
        <f t="shared" si="56"/>
        <v>4.18</v>
      </c>
      <c r="CL55" s="5">
        <f t="shared" si="39"/>
        <v>1.7</v>
      </c>
      <c r="CM55" s="5" t="str">
        <f t="shared" si="40"/>
        <v/>
      </c>
      <c r="CN55" s="5" t="str">
        <f t="shared" si="41"/>
        <v/>
      </c>
      <c r="CO55" s="5" t="str">
        <f t="shared" si="42"/>
        <v/>
      </c>
      <c r="CP55" s="5">
        <f t="shared" si="54"/>
        <v>1.224</v>
      </c>
      <c r="CQ55" s="5" t="str">
        <f t="shared" si="43"/>
        <v/>
      </c>
      <c r="CR55" s="5" t="str">
        <f t="shared" si="44"/>
        <v/>
      </c>
      <c r="CS55" s="5" t="str">
        <f t="shared" si="45"/>
        <v/>
      </c>
      <c r="CT55" s="50">
        <f t="shared" si="46"/>
        <v>1</v>
      </c>
      <c r="CU55" s="50">
        <f t="shared" si="47"/>
        <v>0</v>
      </c>
      <c r="CV55" s="50">
        <f t="shared" si="48"/>
        <v>0</v>
      </c>
      <c r="CW55" s="50">
        <f t="shared" si="49"/>
        <v>0</v>
      </c>
      <c r="CX55" s="190">
        <f t="shared" si="55"/>
        <v>1</v>
      </c>
      <c r="CZ55" s="1">
        <v>2.85</v>
      </c>
      <c r="DA55" s="167">
        <f t="shared" si="50"/>
        <v>1.7</v>
      </c>
      <c r="DB55" s="1">
        <f>Alcantarillas!AX60</f>
        <v>13.5</v>
      </c>
      <c r="DC55" s="5">
        <f t="shared" si="51"/>
        <v>65.407499999999999</v>
      </c>
      <c r="DE55" s="172">
        <f t="shared" si="52"/>
        <v>702</v>
      </c>
      <c r="DF55" s="172">
        <f t="shared" si="53"/>
        <v>0</v>
      </c>
    </row>
    <row r="56" spans="2:110" x14ac:dyDescent="0.25">
      <c r="B56" s="240"/>
      <c r="C56" s="240"/>
      <c r="D56" s="240"/>
      <c r="E56" s="218"/>
      <c r="F56" s="173" t="s">
        <v>64</v>
      </c>
      <c r="G56" s="191" t="s">
        <v>64</v>
      </c>
      <c r="H56" s="191" t="s">
        <v>95</v>
      </c>
      <c r="I56" s="191" t="s">
        <v>313</v>
      </c>
      <c r="N56">
        <v>51</v>
      </c>
      <c r="O56" s="24">
        <f>Alcantarillas!E61</f>
        <v>14958.1</v>
      </c>
      <c r="P56" s="160">
        <f>IF(Alcantarillas!J61=1.2,1,0)</f>
        <v>1</v>
      </c>
      <c r="Q56" s="160">
        <f>IF(Alcantarillas!J61=1.3,1,0)</f>
        <v>0</v>
      </c>
      <c r="R56" s="160">
        <f>IF(Alcantarillas!J61=1.4,1,0)</f>
        <v>0</v>
      </c>
      <c r="S56" s="160">
        <f>IF(Alcantarillas!L61=1.2,1,0)</f>
        <v>0</v>
      </c>
      <c r="T56" s="160">
        <f>IF(Alcantarillas!L61=1.5,1,0)</f>
        <v>0</v>
      </c>
      <c r="V56" s="160">
        <f>IF(Alcantarillas!J61=1.2,Alcantarillas!AX61,0)</f>
        <v>13.4</v>
      </c>
      <c r="W56" s="160">
        <f>IF(Alcantarillas!J61=1.3,Alcantarillas!AX61,0)</f>
        <v>0</v>
      </c>
      <c r="X56" s="160">
        <f>IF(Alcantarillas!J61=1.4,Alcantarillas!AX61,0)</f>
        <v>0</v>
      </c>
      <c r="Y56" s="160">
        <f>IF(Alcantarillas!L61=1.2,Alcantarillas!AX61,0)</f>
        <v>0</v>
      </c>
      <c r="Z56" s="160">
        <f>IF(Alcantarillas!L61=1.5,Alcantarillas!AX61,0)</f>
        <v>0</v>
      </c>
      <c r="AB56" s="21"/>
      <c r="AC56" s="5">
        <f t="shared" si="16"/>
        <v>2.2000000000000002</v>
      </c>
      <c r="AD56" s="21"/>
      <c r="AE56" s="5">
        <f t="shared" si="17"/>
        <v>1.1309733552923256</v>
      </c>
      <c r="AF56" s="5">
        <f t="shared" si="61"/>
        <v>0</v>
      </c>
      <c r="AG56" s="21"/>
      <c r="AH56" s="5">
        <f t="shared" si="19"/>
        <v>0</v>
      </c>
      <c r="AI56" s="5">
        <f t="shared" ref="AI56" si="79">AH56*AD56</f>
        <v>0</v>
      </c>
      <c r="AJ56" s="5">
        <f t="shared" si="21"/>
        <v>5.2</v>
      </c>
      <c r="AK56" s="5">
        <f t="shared" ref="AK56" si="80">(AJ56+AC56)*1.5/2</f>
        <v>5.5500000000000007</v>
      </c>
      <c r="AL56" s="5">
        <f t="shared" ref="AL56" si="81">AK56*AD56</f>
        <v>0</v>
      </c>
      <c r="AM56" s="5">
        <f t="shared" ref="AM56" si="82">AF56+AI56+AL56</f>
        <v>0</v>
      </c>
      <c r="AO56" s="21">
        <v>1.5</v>
      </c>
      <c r="AP56" s="5">
        <f t="shared" si="25"/>
        <v>2.2000000000000002</v>
      </c>
      <c r="AQ56" s="21">
        <v>0.2</v>
      </c>
      <c r="AR56" s="5">
        <f t="shared" si="26"/>
        <v>1.1309733552923256</v>
      </c>
      <c r="AS56" s="5">
        <f t="shared" si="60"/>
        <v>0.9178053289415351</v>
      </c>
      <c r="AT56" s="21">
        <v>2.12</v>
      </c>
      <c r="AU56" s="5">
        <f t="shared" si="28"/>
        <v>1.6818666666666668</v>
      </c>
      <c r="AV56" s="5">
        <f t="shared" ref="AV56" si="83">AU56*AQ56</f>
        <v>0.33637333333333341</v>
      </c>
      <c r="AW56" s="5">
        <f t="shared" si="30"/>
        <v>5.2</v>
      </c>
      <c r="AX56" s="5">
        <f t="shared" ref="AX56" si="84">(AW56+AP56)*1.5/2</f>
        <v>5.5500000000000007</v>
      </c>
      <c r="AY56" s="5">
        <f t="shared" ref="AY56" si="85">AX56*AQ56</f>
        <v>1.1100000000000001</v>
      </c>
      <c r="AZ56" s="5">
        <f t="shared" ref="AZ56" si="86">AS56+AV56+AY56</f>
        <v>2.3641786622748686</v>
      </c>
      <c r="BB56" s="163"/>
      <c r="BC56" s="118"/>
      <c r="BD56" s="118"/>
      <c r="BE56" s="118"/>
      <c r="BF56" s="118"/>
      <c r="BG56" s="183"/>
      <c r="BH56" s="163"/>
      <c r="BI56" s="167"/>
      <c r="BJ56" s="167"/>
      <c r="BK56" s="167"/>
      <c r="BL56" s="167"/>
      <c r="BN56" s="5">
        <f t="shared" si="64"/>
        <v>2.3641786622748686</v>
      </c>
      <c r="BO56" s="5">
        <f t="shared" si="65"/>
        <v>0</v>
      </c>
      <c r="BP56" s="5">
        <f t="shared" si="66"/>
        <v>0</v>
      </c>
      <c r="BQ56" s="5">
        <f t="shared" si="67"/>
        <v>0</v>
      </c>
      <c r="BR56" s="5">
        <f t="shared" si="68"/>
        <v>0</v>
      </c>
      <c r="BS56" s="163">
        <f t="shared" si="69"/>
        <v>0</v>
      </c>
      <c r="BT56" s="163">
        <f t="shared" si="70"/>
        <v>0</v>
      </c>
      <c r="BU56" s="163">
        <f t="shared" si="71"/>
        <v>0</v>
      </c>
      <c r="BV56" s="163">
        <f t="shared" si="72"/>
        <v>0</v>
      </c>
      <c r="BW56" s="163">
        <f t="shared" si="73"/>
        <v>0</v>
      </c>
      <c r="BX56" s="163">
        <f t="shared" si="74"/>
        <v>1</v>
      </c>
      <c r="BY56" s="163">
        <f t="shared" si="75"/>
        <v>0</v>
      </c>
      <c r="BZ56" s="163">
        <f t="shared" si="76"/>
        <v>0</v>
      </c>
      <c r="CA56" s="163">
        <f t="shared" si="77"/>
        <v>0</v>
      </c>
      <c r="CB56" s="163">
        <f t="shared" si="78"/>
        <v>0</v>
      </c>
      <c r="CC56" s="163">
        <f t="shared" si="34"/>
        <v>1</v>
      </c>
      <c r="CD56" s="163">
        <f t="shared" si="35"/>
        <v>0</v>
      </c>
      <c r="CE56" s="163">
        <f t="shared" si="36"/>
        <v>0</v>
      </c>
      <c r="CF56" s="163">
        <f t="shared" si="37"/>
        <v>0</v>
      </c>
      <c r="CG56" s="163">
        <f t="shared" si="38"/>
        <v>0</v>
      </c>
      <c r="CI56" s="167">
        <v>2</v>
      </c>
      <c r="CJ56" s="167">
        <v>3.1</v>
      </c>
      <c r="CK56" s="5">
        <f t="shared" si="56"/>
        <v>5.61</v>
      </c>
      <c r="CL56" s="5">
        <f t="shared" si="39"/>
        <v>1.7</v>
      </c>
      <c r="CM56" s="5" t="str">
        <f t="shared" si="40"/>
        <v/>
      </c>
      <c r="CN56" s="5" t="str">
        <f t="shared" si="41"/>
        <v/>
      </c>
      <c r="CO56" s="5" t="str">
        <f t="shared" si="42"/>
        <v/>
      </c>
      <c r="CP56" s="5">
        <f t="shared" si="54"/>
        <v>1.5554999999999999</v>
      </c>
      <c r="CQ56" s="5" t="str">
        <f t="shared" si="43"/>
        <v/>
      </c>
      <c r="CR56" s="5" t="str">
        <f t="shared" si="44"/>
        <v/>
      </c>
      <c r="CS56" s="5" t="str">
        <f t="shared" si="45"/>
        <v/>
      </c>
      <c r="CT56" s="50">
        <f t="shared" si="46"/>
        <v>1</v>
      </c>
      <c r="CU56" s="50">
        <f t="shared" si="47"/>
        <v>0</v>
      </c>
      <c r="CV56" s="50">
        <f t="shared" si="48"/>
        <v>0</v>
      </c>
      <c r="CW56" s="50">
        <f t="shared" si="49"/>
        <v>0</v>
      </c>
      <c r="CX56" s="190">
        <f t="shared" si="55"/>
        <v>1</v>
      </c>
      <c r="CZ56" s="1">
        <v>2.2000000000000002</v>
      </c>
      <c r="DA56" s="167">
        <f t="shared" si="50"/>
        <v>1.7</v>
      </c>
      <c r="DB56" s="1">
        <f>Alcantarillas!AX61</f>
        <v>13.4</v>
      </c>
      <c r="DC56" s="5">
        <f t="shared" si="51"/>
        <v>50.116000000000007</v>
      </c>
      <c r="DE56" s="172">
        <f t="shared" si="52"/>
        <v>0</v>
      </c>
      <c r="DF56" s="172">
        <f t="shared" si="53"/>
        <v>0</v>
      </c>
    </row>
    <row r="57" spans="2:110" x14ac:dyDescent="0.25">
      <c r="B57" s="213" t="s">
        <v>369</v>
      </c>
      <c r="C57" s="213"/>
      <c r="D57" s="213"/>
      <c r="E57" s="172">
        <f>BB116</f>
        <v>793</v>
      </c>
      <c r="F57" s="172">
        <v>1.5</v>
      </c>
      <c r="G57" s="192">
        <v>1</v>
      </c>
      <c r="H57" s="50">
        <f>BC116</f>
        <v>1189.5</v>
      </c>
      <c r="I57" s="50">
        <f>BD116</f>
        <v>8596.0499999999975</v>
      </c>
      <c r="N57">
        <v>52</v>
      </c>
      <c r="O57" s="24">
        <f>Alcantarillas!E62</f>
        <v>15241.7</v>
      </c>
      <c r="P57" s="160">
        <f>IF(Alcantarillas!J62=1.2,1,0)</f>
        <v>1</v>
      </c>
      <c r="Q57" s="160">
        <f>IF(Alcantarillas!J62=1.3,1,0)</f>
        <v>0</v>
      </c>
      <c r="R57" s="160">
        <f>IF(Alcantarillas!J62=1.4,1,0)</f>
        <v>0</v>
      </c>
      <c r="S57" s="160">
        <f>IF(Alcantarillas!L62=1.2,1,0)</f>
        <v>0</v>
      </c>
      <c r="T57" s="160">
        <f>IF(Alcantarillas!L62=1.5,1,0)</f>
        <v>0</v>
      </c>
      <c r="V57" s="160">
        <f>IF(Alcantarillas!J62=1.2,Alcantarillas!AX62,0)</f>
        <v>8.8000000000000007</v>
      </c>
      <c r="W57" s="160">
        <f>IF(Alcantarillas!J62=1.3,Alcantarillas!AX62,0)</f>
        <v>0</v>
      </c>
      <c r="X57" s="160">
        <f>IF(Alcantarillas!J62=1.4,Alcantarillas!AX62,0)</f>
        <v>0</v>
      </c>
      <c r="Y57" s="160">
        <f>IF(Alcantarillas!L62=1.2,Alcantarillas!AX62,0)</f>
        <v>0</v>
      </c>
      <c r="Z57" s="160">
        <f>IF(Alcantarillas!L62=1.5,Alcantarillas!AX62,0)</f>
        <v>0</v>
      </c>
      <c r="AB57" s="21"/>
      <c r="AC57" s="5">
        <f t="shared" si="16"/>
        <v>2.2000000000000002</v>
      </c>
      <c r="AD57" s="21"/>
      <c r="AE57" s="5">
        <f t="shared" si="17"/>
        <v>1.1309733552923256</v>
      </c>
      <c r="AF57" s="5">
        <f t="shared" si="18"/>
        <v>0</v>
      </c>
      <c r="AG57" s="21"/>
      <c r="AH57" s="5">
        <f t="shared" si="19"/>
        <v>0</v>
      </c>
      <c r="AI57" s="5">
        <f t="shared" si="20"/>
        <v>0</v>
      </c>
      <c r="AJ57" s="5">
        <f t="shared" si="21"/>
        <v>5.2</v>
      </c>
      <c r="AK57" s="5">
        <f t="shared" si="22"/>
        <v>5.5500000000000007</v>
      </c>
      <c r="AL57" s="5">
        <f t="shared" si="23"/>
        <v>0</v>
      </c>
      <c r="AM57" s="5">
        <f t="shared" si="24"/>
        <v>0</v>
      </c>
      <c r="AO57" s="21">
        <v>2.6</v>
      </c>
      <c r="AP57" s="5">
        <f t="shared" si="25"/>
        <v>2.2000000000000002</v>
      </c>
      <c r="AQ57" s="21">
        <v>0.2</v>
      </c>
      <c r="AR57" s="5">
        <f t="shared" si="26"/>
        <v>1.1309733552923256</v>
      </c>
      <c r="AS57" s="5">
        <f t="shared" si="27"/>
        <v>0.9178053289415351</v>
      </c>
      <c r="AT57" s="21">
        <v>2.12</v>
      </c>
      <c r="AU57" s="5">
        <f t="shared" si="28"/>
        <v>4.0138666666666669</v>
      </c>
      <c r="AV57" s="5">
        <f t="shared" si="29"/>
        <v>0.80277333333333345</v>
      </c>
      <c r="AW57" s="5">
        <f t="shared" si="30"/>
        <v>5.2</v>
      </c>
      <c r="AX57" s="5">
        <f t="shared" si="31"/>
        <v>5.5500000000000007</v>
      </c>
      <c r="AY57" s="5">
        <f t="shared" si="32"/>
        <v>1.1100000000000001</v>
      </c>
      <c r="AZ57" s="5">
        <f t="shared" si="33"/>
        <v>2.8305786622748688</v>
      </c>
      <c r="BB57" s="163">
        <v>18</v>
      </c>
      <c r="BC57" s="118">
        <f t="shared" si="58"/>
        <v>27</v>
      </c>
      <c r="BD57" s="118">
        <f t="shared" si="57"/>
        <v>194.4</v>
      </c>
      <c r="BE57" s="118">
        <v>15.8</v>
      </c>
      <c r="BF57" s="118">
        <f t="shared" si="59"/>
        <v>113.76</v>
      </c>
      <c r="BG57" s="183"/>
      <c r="BH57" s="163"/>
      <c r="BI57" s="167"/>
      <c r="BJ57" s="167"/>
      <c r="BK57" s="167"/>
      <c r="BL57" s="167"/>
      <c r="BN57" s="5">
        <f t="shared" si="64"/>
        <v>2.8305786622748688</v>
      </c>
      <c r="BO57" s="5">
        <f t="shared" si="65"/>
        <v>0</v>
      </c>
      <c r="BP57" s="5">
        <f t="shared" si="66"/>
        <v>0</v>
      </c>
      <c r="BQ57" s="5">
        <f t="shared" si="67"/>
        <v>0</v>
      </c>
      <c r="BR57" s="5">
        <f t="shared" si="68"/>
        <v>0</v>
      </c>
      <c r="BS57" s="163">
        <f t="shared" si="69"/>
        <v>0</v>
      </c>
      <c r="BT57" s="163">
        <f t="shared" si="70"/>
        <v>0</v>
      </c>
      <c r="BU57" s="163">
        <f t="shared" si="71"/>
        <v>0</v>
      </c>
      <c r="BV57" s="163">
        <f t="shared" si="72"/>
        <v>0</v>
      </c>
      <c r="BW57" s="163">
        <f t="shared" si="73"/>
        <v>0</v>
      </c>
      <c r="BX57" s="163">
        <f t="shared" si="74"/>
        <v>1</v>
      </c>
      <c r="BY57" s="163">
        <f t="shared" si="75"/>
        <v>0</v>
      </c>
      <c r="BZ57" s="163">
        <f t="shared" si="76"/>
        <v>0</v>
      </c>
      <c r="CA57" s="163">
        <f t="shared" si="77"/>
        <v>0</v>
      </c>
      <c r="CB57" s="163">
        <f t="shared" si="78"/>
        <v>0</v>
      </c>
      <c r="CC57" s="163">
        <f t="shared" si="34"/>
        <v>1</v>
      </c>
      <c r="CD57" s="163">
        <f t="shared" si="35"/>
        <v>0</v>
      </c>
      <c r="CE57" s="163">
        <f t="shared" si="36"/>
        <v>0</v>
      </c>
      <c r="CF57" s="163">
        <f t="shared" si="37"/>
        <v>0</v>
      </c>
      <c r="CG57" s="163">
        <f t="shared" si="38"/>
        <v>0</v>
      </c>
      <c r="CI57" s="167">
        <v>2</v>
      </c>
      <c r="CJ57" s="167">
        <v>4.4000000000000004</v>
      </c>
      <c r="CK57" s="5">
        <f t="shared" si="56"/>
        <v>7.0400000000000009</v>
      </c>
      <c r="CL57" s="5">
        <f t="shared" si="39"/>
        <v>1.7</v>
      </c>
      <c r="CM57" s="5" t="str">
        <f t="shared" si="40"/>
        <v/>
      </c>
      <c r="CN57" s="5" t="str">
        <f t="shared" si="41"/>
        <v/>
      </c>
      <c r="CO57" s="5" t="str">
        <f t="shared" si="42"/>
        <v/>
      </c>
      <c r="CP57" s="5">
        <f t="shared" si="54"/>
        <v>1.887</v>
      </c>
      <c r="CQ57" s="5" t="str">
        <f t="shared" si="43"/>
        <v/>
      </c>
      <c r="CR57" s="5" t="str">
        <f t="shared" si="44"/>
        <v/>
      </c>
      <c r="CS57" s="5" t="str">
        <f t="shared" si="45"/>
        <v/>
      </c>
      <c r="CT57" s="50">
        <f t="shared" si="46"/>
        <v>1</v>
      </c>
      <c r="CU57" s="50">
        <f t="shared" si="47"/>
        <v>0</v>
      </c>
      <c r="CV57" s="50">
        <f t="shared" si="48"/>
        <v>0</v>
      </c>
      <c r="CW57" s="50">
        <f t="shared" si="49"/>
        <v>0</v>
      </c>
      <c r="CX57" s="190">
        <f t="shared" si="55"/>
        <v>1</v>
      </c>
      <c r="CZ57" s="1">
        <v>2.1</v>
      </c>
      <c r="DA57" s="167">
        <f t="shared" si="50"/>
        <v>1.7</v>
      </c>
      <c r="DB57" s="1">
        <f>Alcantarillas!AX62</f>
        <v>8.8000000000000007</v>
      </c>
      <c r="DC57" s="5">
        <f t="shared" si="51"/>
        <v>31.416</v>
      </c>
      <c r="DE57" s="172">
        <f t="shared" si="52"/>
        <v>702</v>
      </c>
      <c r="DF57" s="172">
        <f t="shared" si="53"/>
        <v>0</v>
      </c>
    </row>
    <row r="58" spans="2:110" x14ac:dyDescent="0.25">
      <c r="B58" s="213" t="s">
        <v>370</v>
      </c>
      <c r="C58" s="213"/>
      <c r="D58" s="213"/>
      <c r="E58" s="172">
        <f>BH116</f>
        <v>8</v>
      </c>
      <c r="F58" s="172">
        <v>1.5</v>
      </c>
      <c r="G58" s="192">
        <v>0.2</v>
      </c>
      <c r="H58" s="50">
        <f>BI116</f>
        <v>4.8000000000000007</v>
      </c>
      <c r="I58" s="50">
        <f>BJ116</f>
        <v>34.560000000000009</v>
      </c>
      <c r="N58">
        <v>53</v>
      </c>
      <c r="O58" s="24">
        <f>Alcantarillas!E63</f>
        <v>15625</v>
      </c>
      <c r="P58" s="160">
        <f>IF(Alcantarillas!J63=1.2,1,0)</f>
        <v>1</v>
      </c>
      <c r="Q58" s="160">
        <f>IF(Alcantarillas!J63=1.3,1,0)</f>
        <v>0</v>
      </c>
      <c r="R58" s="160">
        <f>IF(Alcantarillas!J63=1.4,1,0)</f>
        <v>0</v>
      </c>
      <c r="S58" s="160">
        <f>IF(Alcantarillas!L63=1.2,1,0)</f>
        <v>0</v>
      </c>
      <c r="T58" s="160">
        <f>IF(Alcantarillas!L63=1.5,1,0)</f>
        <v>0</v>
      </c>
      <c r="V58" s="160">
        <f>IF(Alcantarillas!J63=1.2,Alcantarillas!AX63,0)</f>
        <v>16.55</v>
      </c>
      <c r="W58" s="160">
        <f>IF(Alcantarillas!J63=1.3,Alcantarillas!AX63,0)</f>
        <v>0</v>
      </c>
      <c r="X58" s="160">
        <f>IF(Alcantarillas!J63=1.4,Alcantarillas!AX63,0)</f>
        <v>0</v>
      </c>
      <c r="Y58" s="160">
        <f>IF(Alcantarillas!L63=1.2,Alcantarillas!AX63,0)</f>
        <v>0</v>
      </c>
      <c r="Z58" s="160">
        <f>IF(Alcantarillas!L63=1.5,Alcantarillas!AX63,0)</f>
        <v>0</v>
      </c>
      <c r="AB58" s="21"/>
      <c r="AC58" s="5">
        <f t="shared" si="16"/>
        <v>2.2000000000000002</v>
      </c>
      <c r="AD58" s="21"/>
      <c r="AE58" s="5">
        <f t="shared" si="17"/>
        <v>1.1309733552923256</v>
      </c>
      <c r="AF58" s="5">
        <f t="shared" si="18"/>
        <v>0</v>
      </c>
      <c r="AG58" s="21"/>
      <c r="AH58" s="5">
        <f t="shared" si="19"/>
        <v>0</v>
      </c>
      <c r="AI58" s="5">
        <f t="shared" si="20"/>
        <v>0</v>
      </c>
      <c r="AJ58" s="5">
        <f t="shared" si="21"/>
        <v>5.2</v>
      </c>
      <c r="AK58" s="5">
        <f t="shared" si="22"/>
        <v>5.5500000000000007</v>
      </c>
      <c r="AL58" s="5">
        <f t="shared" si="23"/>
        <v>0</v>
      </c>
      <c r="AM58" s="5">
        <f t="shared" si="24"/>
        <v>0</v>
      </c>
      <c r="AO58" s="21">
        <v>1.6</v>
      </c>
      <c r="AP58" s="5">
        <f t="shared" si="25"/>
        <v>2.2000000000000002</v>
      </c>
      <c r="AQ58" s="21">
        <v>0.2</v>
      </c>
      <c r="AR58" s="5">
        <f t="shared" si="26"/>
        <v>1.1309733552923256</v>
      </c>
      <c r="AS58" s="5">
        <f t="shared" si="27"/>
        <v>0.47780532894153505</v>
      </c>
      <c r="AT58" s="21">
        <v>2.12</v>
      </c>
      <c r="AU58" s="5">
        <f t="shared" si="28"/>
        <v>1.893866666666667</v>
      </c>
      <c r="AV58" s="5">
        <f t="shared" si="29"/>
        <v>0.37877333333333341</v>
      </c>
      <c r="AW58" s="5">
        <f t="shared" si="30"/>
        <v>5.2</v>
      </c>
      <c r="AX58" s="5">
        <f t="shared" si="31"/>
        <v>5.5500000000000007</v>
      </c>
      <c r="AY58" s="5">
        <f t="shared" si="32"/>
        <v>1.1100000000000001</v>
      </c>
      <c r="AZ58" s="5">
        <f t="shared" si="33"/>
        <v>1.9665786622748684</v>
      </c>
      <c r="BB58" s="163"/>
      <c r="BC58" s="118"/>
      <c r="BD58" s="118"/>
      <c r="BE58" s="118"/>
      <c r="BF58" s="118"/>
      <c r="BG58" s="183"/>
      <c r="BH58" s="163"/>
      <c r="BI58" s="167"/>
      <c r="BJ58" s="167"/>
      <c r="BK58" s="167"/>
      <c r="BL58" s="167"/>
      <c r="BN58" s="5">
        <f t="shared" si="64"/>
        <v>1.9665786622748684</v>
      </c>
      <c r="BO58" s="5">
        <f t="shared" si="65"/>
        <v>0</v>
      </c>
      <c r="BP58" s="5">
        <f t="shared" si="66"/>
        <v>0</v>
      </c>
      <c r="BQ58" s="5">
        <f t="shared" si="67"/>
        <v>0</v>
      </c>
      <c r="BR58" s="5">
        <f t="shared" si="68"/>
        <v>0</v>
      </c>
      <c r="BS58" s="163">
        <f t="shared" si="69"/>
        <v>0</v>
      </c>
      <c r="BT58" s="163">
        <f t="shared" si="70"/>
        <v>0</v>
      </c>
      <c r="BU58" s="163">
        <f t="shared" si="71"/>
        <v>0</v>
      </c>
      <c r="BV58" s="163">
        <f t="shared" si="72"/>
        <v>0</v>
      </c>
      <c r="BW58" s="163">
        <f t="shared" si="73"/>
        <v>0</v>
      </c>
      <c r="BX58" s="163">
        <f t="shared" si="74"/>
        <v>1</v>
      </c>
      <c r="BY58" s="163">
        <f t="shared" si="75"/>
        <v>0</v>
      </c>
      <c r="BZ58" s="163">
        <f t="shared" si="76"/>
        <v>0</v>
      </c>
      <c r="CA58" s="163">
        <f t="shared" si="77"/>
        <v>0</v>
      </c>
      <c r="CB58" s="163">
        <f t="shared" si="78"/>
        <v>0</v>
      </c>
      <c r="CC58" s="163">
        <f t="shared" si="34"/>
        <v>1</v>
      </c>
      <c r="CD58" s="163">
        <f t="shared" si="35"/>
        <v>0</v>
      </c>
      <c r="CE58" s="163">
        <f t="shared" si="36"/>
        <v>0</v>
      </c>
      <c r="CF58" s="163">
        <f t="shared" si="37"/>
        <v>0</v>
      </c>
      <c r="CG58" s="163">
        <f t="shared" si="38"/>
        <v>0</v>
      </c>
      <c r="CI58" s="167">
        <v>2.5</v>
      </c>
      <c r="CJ58" s="167">
        <v>4.5</v>
      </c>
      <c r="CK58" s="5">
        <f t="shared" si="56"/>
        <v>7.7000000000000011</v>
      </c>
      <c r="CL58" s="5">
        <f t="shared" si="39"/>
        <v>1.7</v>
      </c>
      <c r="CM58" s="5" t="str">
        <f t="shared" si="40"/>
        <v/>
      </c>
      <c r="CN58" s="5" t="str">
        <f t="shared" si="41"/>
        <v/>
      </c>
      <c r="CO58" s="5" t="str">
        <f t="shared" si="42"/>
        <v/>
      </c>
      <c r="CP58" s="5">
        <f t="shared" si="54"/>
        <v>2.0399999999999996</v>
      </c>
      <c r="CQ58" s="5" t="str">
        <f t="shared" si="43"/>
        <v/>
      </c>
      <c r="CR58" s="5" t="str">
        <f t="shared" si="44"/>
        <v/>
      </c>
      <c r="CS58" s="5" t="str">
        <f t="shared" si="45"/>
        <v/>
      </c>
      <c r="CT58" s="50">
        <f t="shared" si="46"/>
        <v>1</v>
      </c>
      <c r="CU58" s="50">
        <f t="shared" si="47"/>
        <v>0</v>
      </c>
      <c r="CV58" s="50">
        <f t="shared" si="48"/>
        <v>0</v>
      </c>
      <c r="CW58" s="50">
        <f t="shared" si="49"/>
        <v>0</v>
      </c>
      <c r="CX58" s="190">
        <f t="shared" si="55"/>
        <v>1</v>
      </c>
      <c r="CZ58" s="1">
        <v>2.2999999999999998</v>
      </c>
      <c r="DA58" s="167">
        <f t="shared" si="50"/>
        <v>1.7</v>
      </c>
      <c r="DB58" s="1">
        <f>Alcantarillas!AX63</f>
        <v>16.55</v>
      </c>
      <c r="DC58" s="5">
        <f t="shared" si="51"/>
        <v>64.710499999999996</v>
      </c>
      <c r="DE58" s="172">
        <f t="shared" si="52"/>
        <v>0</v>
      </c>
      <c r="DF58" s="172">
        <f t="shared" si="53"/>
        <v>0</v>
      </c>
    </row>
    <row r="59" spans="2:110" x14ac:dyDescent="0.25">
      <c r="B59" s="213" t="s">
        <v>381</v>
      </c>
      <c r="C59" s="213"/>
      <c r="D59" s="213"/>
      <c r="E59" s="172">
        <f>E57</f>
        <v>793</v>
      </c>
      <c r="F59" s="172">
        <v>1.5</v>
      </c>
      <c r="G59" s="192">
        <v>1</v>
      </c>
      <c r="H59" s="50">
        <f>DE116</f>
        <v>31032.5</v>
      </c>
      <c r="I59" s="192"/>
      <c r="N59">
        <v>54</v>
      </c>
      <c r="O59" s="24">
        <f>Alcantarillas!E64</f>
        <v>16008</v>
      </c>
      <c r="P59" s="160">
        <f>IF(Alcantarillas!J64=1.2,1,0)</f>
        <v>1</v>
      </c>
      <c r="Q59" s="160">
        <f>IF(Alcantarillas!J64=1.3,1,0)</f>
        <v>0</v>
      </c>
      <c r="R59" s="160">
        <f>IF(Alcantarillas!J64=1.4,1,0)</f>
        <v>0</v>
      </c>
      <c r="S59" s="160">
        <f>IF(Alcantarillas!L64=1.2,1,0)</f>
        <v>0</v>
      </c>
      <c r="T59" s="160">
        <f>IF(Alcantarillas!L64=1.5,1,0)</f>
        <v>0</v>
      </c>
      <c r="V59" s="160">
        <f>IF(Alcantarillas!J64=1.2,Alcantarillas!AX64,0)</f>
        <v>9.75</v>
      </c>
      <c r="W59" s="160">
        <f>IF(Alcantarillas!J64=1.3,Alcantarillas!AX64,0)</f>
        <v>0</v>
      </c>
      <c r="X59" s="160">
        <f>IF(Alcantarillas!J64=1.4,Alcantarillas!AX64,0)</f>
        <v>0</v>
      </c>
      <c r="Y59" s="160">
        <f>IF(Alcantarillas!L64=1.2,Alcantarillas!AX64,0)</f>
        <v>0</v>
      </c>
      <c r="Z59" s="160">
        <f>IF(Alcantarillas!L64=1.5,Alcantarillas!AX64,0)</f>
        <v>0</v>
      </c>
      <c r="AB59" s="21"/>
      <c r="AC59" s="5">
        <f t="shared" si="16"/>
        <v>2.2000000000000002</v>
      </c>
      <c r="AD59" s="21"/>
      <c r="AE59" s="5">
        <f t="shared" si="17"/>
        <v>1.1309733552923256</v>
      </c>
      <c r="AF59" s="5">
        <f t="shared" si="18"/>
        <v>0</v>
      </c>
      <c r="AG59" s="21"/>
      <c r="AH59" s="5">
        <f t="shared" si="19"/>
        <v>0</v>
      </c>
      <c r="AI59" s="5">
        <f t="shared" si="20"/>
        <v>0</v>
      </c>
      <c r="AJ59" s="5">
        <f t="shared" si="21"/>
        <v>5.2</v>
      </c>
      <c r="AK59" s="5">
        <f t="shared" si="22"/>
        <v>5.5500000000000007</v>
      </c>
      <c r="AL59" s="5">
        <f t="shared" si="23"/>
        <v>0</v>
      </c>
      <c r="AM59" s="5">
        <f t="shared" si="24"/>
        <v>0</v>
      </c>
      <c r="AO59" s="21">
        <v>1.4</v>
      </c>
      <c r="AP59" s="5">
        <f t="shared" si="25"/>
        <v>2.2000000000000002</v>
      </c>
      <c r="AQ59" s="21">
        <v>0.2</v>
      </c>
      <c r="AR59" s="5">
        <f t="shared" si="26"/>
        <v>1.1309733552923256</v>
      </c>
      <c r="AS59" s="5">
        <f t="shared" si="27"/>
        <v>0.38980532894153491</v>
      </c>
      <c r="AT59" s="21">
        <v>2.12</v>
      </c>
      <c r="AU59" s="5">
        <f t="shared" si="28"/>
        <v>1.4698666666666667</v>
      </c>
      <c r="AV59" s="5">
        <f t="shared" si="29"/>
        <v>0.29397333333333336</v>
      </c>
      <c r="AW59" s="5">
        <f t="shared" si="30"/>
        <v>5.2</v>
      </c>
      <c r="AX59" s="5">
        <f t="shared" si="31"/>
        <v>5.5500000000000007</v>
      </c>
      <c r="AY59" s="5">
        <f t="shared" si="32"/>
        <v>1.1100000000000001</v>
      </c>
      <c r="AZ59" s="5">
        <f t="shared" si="33"/>
        <v>1.7937786622748684</v>
      </c>
      <c r="BB59" s="163"/>
      <c r="BC59" s="118"/>
      <c r="BD59" s="118"/>
      <c r="BE59" s="118"/>
      <c r="BF59" s="118"/>
      <c r="BG59" s="183"/>
      <c r="BH59" s="163"/>
      <c r="BI59" s="167"/>
      <c r="BJ59" s="167"/>
      <c r="BK59" s="167"/>
      <c r="BL59" s="167"/>
      <c r="BN59" s="5">
        <f t="shared" si="64"/>
        <v>1.7937786622748684</v>
      </c>
      <c r="BO59" s="5">
        <f t="shared" si="65"/>
        <v>0</v>
      </c>
      <c r="BP59" s="5">
        <f t="shared" si="66"/>
        <v>0</v>
      </c>
      <c r="BQ59" s="5">
        <f t="shared" si="67"/>
        <v>0</v>
      </c>
      <c r="BR59" s="5">
        <f t="shared" si="68"/>
        <v>0</v>
      </c>
      <c r="BS59" s="163">
        <f t="shared" si="69"/>
        <v>0</v>
      </c>
      <c r="BT59" s="163">
        <f t="shared" si="70"/>
        <v>0</v>
      </c>
      <c r="BU59" s="163">
        <f t="shared" si="71"/>
        <v>0</v>
      </c>
      <c r="BV59" s="163">
        <f t="shared" si="72"/>
        <v>0</v>
      </c>
      <c r="BW59" s="163">
        <f t="shared" si="73"/>
        <v>0</v>
      </c>
      <c r="BX59" s="163">
        <f t="shared" si="74"/>
        <v>1</v>
      </c>
      <c r="BY59" s="163">
        <f t="shared" si="75"/>
        <v>0</v>
      </c>
      <c r="BZ59" s="163">
        <f t="shared" si="76"/>
        <v>0</v>
      </c>
      <c r="CA59" s="163">
        <f t="shared" si="77"/>
        <v>0</v>
      </c>
      <c r="CB59" s="163">
        <f t="shared" si="78"/>
        <v>0</v>
      </c>
      <c r="CC59" s="163">
        <f t="shared" si="34"/>
        <v>1</v>
      </c>
      <c r="CD59" s="163">
        <f t="shared" si="35"/>
        <v>0</v>
      </c>
      <c r="CE59" s="163">
        <f t="shared" si="36"/>
        <v>0</v>
      </c>
      <c r="CF59" s="163">
        <f t="shared" si="37"/>
        <v>0</v>
      </c>
      <c r="CG59" s="163">
        <f t="shared" si="38"/>
        <v>0</v>
      </c>
      <c r="CI59" s="167">
        <v>1.95</v>
      </c>
      <c r="CJ59" s="167">
        <v>4.25</v>
      </c>
      <c r="CK59" s="5">
        <f t="shared" si="56"/>
        <v>6.8200000000000012</v>
      </c>
      <c r="CL59" s="5">
        <f t="shared" si="39"/>
        <v>1.7</v>
      </c>
      <c r="CM59" s="5" t="str">
        <f t="shared" si="40"/>
        <v/>
      </c>
      <c r="CN59" s="5" t="str">
        <f t="shared" si="41"/>
        <v/>
      </c>
      <c r="CO59" s="5" t="str">
        <f t="shared" si="42"/>
        <v/>
      </c>
      <c r="CP59" s="5">
        <f t="shared" si="54"/>
        <v>1.8359999999999996</v>
      </c>
      <c r="CQ59" s="5" t="str">
        <f t="shared" si="43"/>
        <v/>
      </c>
      <c r="CR59" s="5" t="str">
        <f t="shared" si="44"/>
        <v/>
      </c>
      <c r="CS59" s="5" t="str">
        <f t="shared" si="45"/>
        <v/>
      </c>
      <c r="CT59" s="50">
        <f t="shared" si="46"/>
        <v>1</v>
      </c>
      <c r="CU59" s="50">
        <f t="shared" si="47"/>
        <v>0</v>
      </c>
      <c r="CV59" s="50">
        <f t="shared" si="48"/>
        <v>0</v>
      </c>
      <c r="CW59" s="50">
        <f t="shared" si="49"/>
        <v>0</v>
      </c>
      <c r="CX59" s="190">
        <f t="shared" si="55"/>
        <v>1</v>
      </c>
      <c r="CZ59" s="1">
        <v>1.8</v>
      </c>
      <c r="DA59" s="167">
        <f t="shared" si="50"/>
        <v>1.7</v>
      </c>
      <c r="DB59" s="1">
        <f>Alcantarillas!AX64</f>
        <v>9.75</v>
      </c>
      <c r="DC59" s="5">
        <f t="shared" si="51"/>
        <v>29.835000000000001</v>
      </c>
      <c r="DE59" s="172">
        <f t="shared" si="52"/>
        <v>0</v>
      </c>
      <c r="DF59" s="172">
        <f t="shared" si="53"/>
        <v>0</v>
      </c>
    </row>
    <row r="60" spans="2:110" x14ac:dyDescent="0.25">
      <c r="B60" s="213" t="s">
        <v>382</v>
      </c>
      <c r="C60" s="213"/>
      <c r="D60" s="213"/>
      <c r="E60" s="192">
        <f>E58</f>
        <v>8</v>
      </c>
      <c r="F60" s="192">
        <v>1.5</v>
      </c>
      <c r="G60" s="192">
        <v>0.2</v>
      </c>
      <c r="H60" s="50">
        <f>DF116</f>
        <v>401.28000000000003</v>
      </c>
      <c r="I60" s="192"/>
      <c r="N60">
        <v>55</v>
      </c>
      <c r="O60" s="24">
        <f>Alcantarillas!E65</f>
        <v>16270</v>
      </c>
      <c r="P60" s="160">
        <f>IF(Alcantarillas!J65=1.2,1,0)</f>
        <v>1</v>
      </c>
      <c r="Q60" s="160">
        <f>IF(Alcantarillas!J65=1.3,1,0)</f>
        <v>0</v>
      </c>
      <c r="R60" s="160">
        <f>IF(Alcantarillas!J65=1.4,1,0)</f>
        <v>0</v>
      </c>
      <c r="S60" s="160">
        <f>IF(Alcantarillas!L65=1.2,1,0)</f>
        <v>0</v>
      </c>
      <c r="T60" s="160">
        <f>IF(Alcantarillas!L65=1.5,1,0)</f>
        <v>0</v>
      </c>
      <c r="V60" s="160">
        <f>IF(Alcantarillas!J65=1.2,Alcantarillas!AX65,0)</f>
        <v>15</v>
      </c>
      <c r="W60" s="160">
        <f>IF(Alcantarillas!J65=1.3,Alcantarillas!AX65,0)</f>
        <v>0</v>
      </c>
      <c r="X60" s="160">
        <f>IF(Alcantarillas!J65=1.4,Alcantarillas!AX65,0)</f>
        <v>0</v>
      </c>
      <c r="Y60" s="160">
        <f>IF(Alcantarillas!L65=1.2,Alcantarillas!AX65,0)</f>
        <v>0</v>
      </c>
      <c r="Z60" s="160">
        <f>IF(Alcantarillas!L65=1.5,Alcantarillas!AX65,0)</f>
        <v>0</v>
      </c>
      <c r="AB60" s="21"/>
      <c r="AC60" s="5">
        <f t="shared" si="16"/>
        <v>2.2000000000000002</v>
      </c>
      <c r="AD60" s="21"/>
      <c r="AE60" s="5">
        <f t="shared" si="17"/>
        <v>1.1309733552923256</v>
      </c>
      <c r="AF60" s="5">
        <f t="shared" si="18"/>
        <v>0</v>
      </c>
      <c r="AG60" s="21"/>
      <c r="AH60" s="5">
        <f t="shared" si="19"/>
        <v>0</v>
      </c>
      <c r="AI60" s="5">
        <f t="shared" si="20"/>
        <v>0</v>
      </c>
      <c r="AJ60" s="5">
        <f t="shared" si="21"/>
        <v>5.2</v>
      </c>
      <c r="AK60" s="5">
        <f t="shared" si="22"/>
        <v>5.5500000000000007</v>
      </c>
      <c r="AL60" s="5">
        <f t="shared" si="23"/>
        <v>0</v>
      </c>
      <c r="AM60" s="5">
        <f t="shared" si="24"/>
        <v>0</v>
      </c>
      <c r="AO60" s="21">
        <v>1.5</v>
      </c>
      <c r="AP60" s="5">
        <f t="shared" si="25"/>
        <v>2.2000000000000002</v>
      </c>
      <c r="AQ60" s="21">
        <v>0.2</v>
      </c>
      <c r="AR60" s="5">
        <f t="shared" si="26"/>
        <v>1.1309733552923256</v>
      </c>
      <c r="AS60" s="5">
        <f t="shared" si="27"/>
        <v>0.4338053289415349</v>
      </c>
      <c r="AT60" s="21">
        <v>2.12</v>
      </c>
      <c r="AU60" s="5">
        <f t="shared" si="28"/>
        <v>1.6818666666666668</v>
      </c>
      <c r="AV60" s="5">
        <f t="shared" si="29"/>
        <v>0.33637333333333341</v>
      </c>
      <c r="AW60" s="5">
        <f t="shared" si="30"/>
        <v>5.2</v>
      </c>
      <c r="AX60" s="5">
        <f t="shared" si="31"/>
        <v>5.5500000000000007</v>
      </c>
      <c r="AY60" s="5">
        <f t="shared" si="32"/>
        <v>1.1100000000000001</v>
      </c>
      <c r="AZ60" s="5">
        <f t="shared" si="33"/>
        <v>1.8801786622748684</v>
      </c>
      <c r="BB60" s="163"/>
      <c r="BC60" s="118"/>
      <c r="BD60" s="118"/>
      <c r="BE60" s="118"/>
      <c r="BF60" s="118"/>
      <c r="BG60" s="183"/>
      <c r="BH60" s="163"/>
      <c r="BI60" s="167"/>
      <c r="BJ60" s="167"/>
      <c r="BK60" s="167"/>
      <c r="BL60" s="167"/>
      <c r="BN60" s="5">
        <f t="shared" si="64"/>
        <v>1.8801786622748684</v>
      </c>
      <c r="BO60" s="5">
        <f t="shared" si="65"/>
        <v>0</v>
      </c>
      <c r="BP60" s="5">
        <f t="shared" si="66"/>
        <v>0</v>
      </c>
      <c r="BQ60" s="5">
        <f t="shared" si="67"/>
        <v>0</v>
      </c>
      <c r="BR60" s="5">
        <f t="shared" si="68"/>
        <v>0</v>
      </c>
      <c r="BS60" s="163">
        <f t="shared" si="69"/>
        <v>0</v>
      </c>
      <c r="BT60" s="163">
        <f t="shared" si="70"/>
        <v>0</v>
      </c>
      <c r="BU60" s="163">
        <f t="shared" si="71"/>
        <v>0</v>
      </c>
      <c r="BV60" s="163">
        <f t="shared" si="72"/>
        <v>0</v>
      </c>
      <c r="BW60" s="163">
        <f t="shared" si="73"/>
        <v>0</v>
      </c>
      <c r="BX60" s="163">
        <f t="shared" si="74"/>
        <v>1</v>
      </c>
      <c r="BY60" s="163">
        <f t="shared" si="75"/>
        <v>0</v>
      </c>
      <c r="BZ60" s="163">
        <f t="shared" si="76"/>
        <v>0</v>
      </c>
      <c r="CA60" s="163">
        <f t="shared" si="77"/>
        <v>0</v>
      </c>
      <c r="CB60" s="163">
        <f t="shared" si="78"/>
        <v>0</v>
      </c>
      <c r="CC60" s="163">
        <f t="shared" si="34"/>
        <v>1</v>
      </c>
      <c r="CD60" s="163">
        <f t="shared" si="35"/>
        <v>0</v>
      </c>
      <c r="CE60" s="163">
        <f t="shared" si="36"/>
        <v>0</v>
      </c>
      <c r="CF60" s="163">
        <f t="shared" si="37"/>
        <v>0</v>
      </c>
      <c r="CG60" s="163">
        <f t="shared" si="38"/>
        <v>0</v>
      </c>
      <c r="CI60" s="167">
        <v>4.8499999999999996</v>
      </c>
      <c r="CJ60" s="167">
        <v>2.4</v>
      </c>
      <c r="CK60" s="5">
        <f t="shared" si="56"/>
        <v>7.9750000000000005</v>
      </c>
      <c r="CL60" s="5">
        <f t="shared" si="39"/>
        <v>1.7</v>
      </c>
      <c r="CM60" s="5" t="str">
        <f t="shared" si="40"/>
        <v/>
      </c>
      <c r="CN60" s="5" t="str">
        <f t="shared" si="41"/>
        <v/>
      </c>
      <c r="CO60" s="5" t="str">
        <f t="shared" si="42"/>
        <v/>
      </c>
      <c r="CP60" s="5">
        <f t="shared" si="54"/>
        <v>2.1037499999999998</v>
      </c>
      <c r="CQ60" s="5" t="str">
        <f t="shared" si="43"/>
        <v/>
      </c>
      <c r="CR60" s="5" t="str">
        <f t="shared" si="44"/>
        <v/>
      </c>
      <c r="CS60" s="5" t="str">
        <f t="shared" si="45"/>
        <v/>
      </c>
      <c r="CT60" s="50">
        <f t="shared" si="46"/>
        <v>1</v>
      </c>
      <c r="CU60" s="50">
        <f t="shared" si="47"/>
        <v>0</v>
      </c>
      <c r="CV60" s="50">
        <f t="shared" si="48"/>
        <v>0</v>
      </c>
      <c r="CW60" s="50">
        <f t="shared" si="49"/>
        <v>0</v>
      </c>
      <c r="CX60" s="190">
        <f t="shared" si="55"/>
        <v>1</v>
      </c>
      <c r="CZ60" s="1">
        <v>1.65</v>
      </c>
      <c r="DA60" s="167">
        <f t="shared" si="50"/>
        <v>1.7</v>
      </c>
      <c r="DB60" s="1">
        <f>Alcantarillas!AX65</f>
        <v>15</v>
      </c>
      <c r="DC60" s="5">
        <f t="shared" si="51"/>
        <v>42.074999999999996</v>
      </c>
      <c r="DE60" s="172">
        <f t="shared" si="52"/>
        <v>0</v>
      </c>
      <c r="DF60" s="172">
        <f t="shared" si="53"/>
        <v>0</v>
      </c>
    </row>
    <row r="61" spans="2:110" x14ac:dyDescent="0.25">
      <c r="N61">
        <v>56</v>
      </c>
      <c r="O61" s="24">
        <f>Alcantarillas!E66</f>
        <v>16495.599999999999</v>
      </c>
      <c r="P61" s="160">
        <f>IF(Alcantarillas!J66=1.2,1,0)</f>
        <v>1</v>
      </c>
      <c r="Q61" s="160">
        <f>IF(Alcantarillas!J66=1.3,1,0)</f>
        <v>0</v>
      </c>
      <c r="R61" s="160">
        <f>IF(Alcantarillas!J66=1.4,1,0)</f>
        <v>0</v>
      </c>
      <c r="S61" s="160">
        <f>IF(Alcantarillas!L66=1.2,1,0)</f>
        <v>0</v>
      </c>
      <c r="T61" s="160">
        <f>IF(Alcantarillas!L66=1.5,1,0)</f>
        <v>0</v>
      </c>
      <c r="V61" s="160">
        <f>IF(Alcantarillas!J66=1.2,Alcantarillas!AX66,0)</f>
        <v>9.3000000000000007</v>
      </c>
      <c r="W61" s="160">
        <f>IF(Alcantarillas!J66=1.3,Alcantarillas!AX66,0)</f>
        <v>0</v>
      </c>
      <c r="X61" s="160">
        <f>IF(Alcantarillas!J66=1.4,Alcantarillas!AX66,0)</f>
        <v>0</v>
      </c>
      <c r="Y61" s="160">
        <f>IF(Alcantarillas!L66=1.2,Alcantarillas!AX66,0)</f>
        <v>0</v>
      </c>
      <c r="Z61" s="160">
        <f>IF(Alcantarillas!L66=1.5,Alcantarillas!AX66,0)</f>
        <v>0</v>
      </c>
      <c r="AB61" s="21"/>
      <c r="AC61" s="5">
        <f t="shared" si="16"/>
        <v>2.2000000000000002</v>
      </c>
      <c r="AD61" s="21"/>
      <c r="AE61" s="5">
        <f t="shared" si="17"/>
        <v>1.1309733552923256</v>
      </c>
      <c r="AF61" s="5">
        <f t="shared" si="18"/>
        <v>0</v>
      </c>
      <c r="AG61" s="21"/>
      <c r="AH61" s="5">
        <f t="shared" si="19"/>
        <v>0</v>
      </c>
      <c r="AI61" s="5">
        <f t="shared" si="20"/>
        <v>0</v>
      </c>
      <c r="AJ61" s="5">
        <f t="shared" si="21"/>
        <v>5.2</v>
      </c>
      <c r="AK61" s="5">
        <f t="shared" si="22"/>
        <v>5.5500000000000007</v>
      </c>
      <c r="AL61" s="5">
        <f t="shared" si="23"/>
        <v>0</v>
      </c>
      <c r="AM61" s="5">
        <f t="shared" si="24"/>
        <v>0</v>
      </c>
      <c r="AO61" s="21">
        <v>2.4</v>
      </c>
      <c r="AP61" s="5">
        <f t="shared" si="25"/>
        <v>2.2000000000000002</v>
      </c>
      <c r="AQ61" s="21">
        <v>0.2</v>
      </c>
      <c r="AR61" s="5">
        <f t="shared" si="26"/>
        <v>1.1309733552923256</v>
      </c>
      <c r="AS61" s="5">
        <f t="shared" si="27"/>
        <v>0.82980532894153503</v>
      </c>
      <c r="AT61" s="21">
        <v>2.12</v>
      </c>
      <c r="AU61" s="5">
        <f t="shared" si="28"/>
        <v>3.5898666666666665</v>
      </c>
      <c r="AV61" s="5">
        <f t="shared" si="29"/>
        <v>0.71797333333333335</v>
      </c>
      <c r="AW61" s="5">
        <f t="shared" si="30"/>
        <v>5.2</v>
      </c>
      <c r="AX61" s="5">
        <f t="shared" si="31"/>
        <v>5.5500000000000007</v>
      </c>
      <c r="AY61" s="5">
        <f t="shared" si="32"/>
        <v>1.1100000000000001</v>
      </c>
      <c r="AZ61" s="5">
        <f t="shared" si="33"/>
        <v>2.6577786622748683</v>
      </c>
      <c r="BB61" s="163"/>
      <c r="BC61" s="118"/>
      <c r="BD61" s="118"/>
      <c r="BE61" s="118"/>
      <c r="BF61" s="118"/>
      <c r="BG61" s="183"/>
      <c r="BH61" s="163"/>
      <c r="BI61" s="167"/>
      <c r="BJ61" s="167"/>
      <c r="BK61" s="167"/>
      <c r="BL61" s="167"/>
      <c r="BN61" s="5">
        <f t="shared" si="64"/>
        <v>2.6577786622748683</v>
      </c>
      <c r="BO61" s="5">
        <f t="shared" si="65"/>
        <v>0</v>
      </c>
      <c r="BP61" s="5">
        <f t="shared" si="66"/>
        <v>0</v>
      </c>
      <c r="BQ61" s="5">
        <f t="shared" si="67"/>
        <v>0</v>
      </c>
      <c r="BR61" s="5">
        <f t="shared" si="68"/>
        <v>0</v>
      </c>
      <c r="BS61" s="163">
        <f t="shared" si="69"/>
        <v>0</v>
      </c>
      <c r="BT61" s="163">
        <f t="shared" si="70"/>
        <v>0</v>
      </c>
      <c r="BU61" s="163">
        <f t="shared" si="71"/>
        <v>0</v>
      </c>
      <c r="BV61" s="163">
        <f t="shared" si="72"/>
        <v>0</v>
      </c>
      <c r="BW61" s="163">
        <f t="shared" si="73"/>
        <v>0</v>
      </c>
      <c r="BX61" s="163">
        <f t="shared" si="74"/>
        <v>1</v>
      </c>
      <c r="BY61" s="163">
        <f t="shared" si="75"/>
        <v>0</v>
      </c>
      <c r="BZ61" s="163">
        <f t="shared" si="76"/>
        <v>0</v>
      </c>
      <c r="CA61" s="163">
        <f t="shared" si="77"/>
        <v>0</v>
      </c>
      <c r="CB61" s="163">
        <f t="shared" si="78"/>
        <v>0</v>
      </c>
      <c r="CC61" s="163">
        <f t="shared" si="34"/>
        <v>1</v>
      </c>
      <c r="CD61" s="163">
        <f t="shared" si="35"/>
        <v>0</v>
      </c>
      <c r="CE61" s="163">
        <f t="shared" si="36"/>
        <v>0</v>
      </c>
      <c r="CF61" s="163">
        <f t="shared" si="37"/>
        <v>0</v>
      </c>
      <c r="CG61" s="163">
        <f t="shared" si="38"/>
        <v>0</v>
      </c>
      <c r="CI61" s="167">
        <v>4.8499999999999996</v>
      </c>
      <c r="CJ61" s="167">
        <v>2.4</v>
      </c>
      <c r="CK61" s="5">
        <f t="shared" si="56"/>
        <v>7.9750000000000005</v>
      </c>
      <c r="CL61" s="5">
        <f t="shared" si="39"/>
        <v>1.7</v>
      </c>
      <c r="CM61" s="5" t="str">
        <f t="shared" si="40"/>
        <v/>
      </c>
      <c r="CN61" s="5" t="str">
        <f t="shared" si="41"/>
        <v/>
      </c>
      <c r="CO61" s="5" t="str">
        <f t="shared" si="42"/>
        <v/>
      </c>
      <c r="CP61" s="5">
        <f t="shared" si="54"/>
        <v>2.1037499999999998</v>
      </c>
      <c r="CQ61" s="5" t="str">
        <f t="shared" si="43"/>
        <v/>
      </c>
      <c r="CR61" s="5" t="str">
        <f t="shared" si="44"/>
        <v/>
      </c>
      <c r="CS61" s="5" t="str">
        <f t="shared" si="45"/>
        <v/>
      </c>
      <c r="CT61" s="50">
        <f t="shared" si="46"/>
        <v>1</v>
      </c>
      <c r="CU61" s="50">
        <f t="shared" si="47"/>
        <v>0</v>
      </c>
      <c r="CV61" s="50">
        <f t="shared" si="48"/>
        <v>0</v>
      </c>
      <c r="CW61" s="50">
        <f t="shared" si="49"/>
        <v>0</v>
      </c>
      <c r="CX61" s="190">
        <f t="shared" si="55"/>
        <v>1</v>
      </c>
      <c r="CZ61" s="1">
        <v>1.95</v>
      </c>
      <c r="DA61" s="167">
        <f t="shared" si="50"/>
        <v>1.7</v>
      </c>
      <c r="DB61" s="1">
        <f>Alcantarillas!AX66</f>
        <v>9.3000000000000007</v>
      </c>
      <c r="DC61" s="5">
        <f t="shared" si="51"/>
        <v>30.829500000000003</v>
      </c>
      <c r="DE61" s="172">
        <f t="shared" si="52"/>
        <v>0</v>
      </c>
      <c r="DF61" s="172">
        <f t="shared" si="53"/>
        <v>0</v>
      </c>
    </row>
    <row r="62" spans="2:110" x14ac:dyDescent="0.25">
      <c r="N62">
        <v>57</v>
      </c>
      <c r="O62" s="24">
        <f>Alcantarillas!E67</f>
        <v>16832</v>
      </c>
      <c r="P62" s="160">
        <f>IF(Alcantarillas!J67=1.2,1,0)</f>
        <v>1</v>
      </c>
      <c r="Q62" s="160">
        <f>IF(Alcantarillas!J67=1.3,1,0)</f>
        <v>0</v>
      </c>
      <c r="R62" s="160">
        <f>IF(Alcantarillas!J67=1.4,1,0)</f>
        <v>0</v>
      </c>
      <c r="S62" s="160">
        <f>IF(Alcantarillas!L67=1.2,1,0)</f>
        <v>0</v>
      </c>
      <c r="T62" s="160">
        <f>IF(Alcantarillas!L67=1.5,1,0)</f>
        <v>0</v>
      </c>
      <c r="V62" s="160">
        <f>IF(Alcantarillas!J67=1.2,Alcantarillas!AX67,0)</f>
        <v>11.6</v>
      </c>
      <c r="W62" s="160">
        <f>IF(Alcantarillas!J67=1.3,Alcantarillas!AX67,0)</f>
        <v>0</v>
      </c>
      <c r="X62" s="160">
        <f>IF(Alcantarillas!J67=1.4,Alcantarillas!AX67,0)</f>
        <v>0</v>
      </c>
      <c r="Y62" s="160">
        <f>IF(Alcantarillas!L67=1.2,Alcantarillas!AX67,0)</f>
        <v>0</v>
      </c>
      <c r="Z62" s="160">
        <f>IF(Alcantarillas!L67=1.5,Alcantarillas!AX67,0)</f>
        <v>0</v>
      </c>
      <c r="AB62" s="21"/>
      <c r="AC62" s="5">
        <f t="shared" si="16"/>
        <v>2.2000000000000002</v>
      </c>
      <c r="AD62" s="21"/>
      <c r="AE62" s="5">
        <f t="shared" si="17"/>
        <v>1.1309733552923256</v>
      </c>
      <c r="AF62" s="5">
        <f t="shared" si="18"/>
        <v>0</v>
      </c>
      <c r="AG62" s="21"/>
      <c r="AH62" s="5">
        <f t="shared" si="19"/>
        <v>0</v>
      </c>
      <c r="AI62" s="5">
        <f t="shared" si="20"/>
        <v>0</v>
      </c>
      <c r="AJ62" s="5">
        <f t="shared" si="21"/>
        <v>5.2</v>
      </c>
      <c r="AK62" s="5">
        <f t="shared" si="22"/>
        <v>5.5500000000000007</v>
      </c>
      <c r="AL62" s="5">
        <f t="shared" si="23"/>
        <v>0</v>
      </c>
      <c r="AM62" s="5">
        <f t="shared" si="24"/>
        <v>0</v>
      </c>
      <c r="AO62" s="21">
        <v>1.7</v>
      </c>
      <c r="AP62" s="5">
        <f t="shared" si="25"/>
        <v>2.2000000000000002</v>
      </c>
      <c r="AQ62" s="21">
        <v>0.2</v>
      </c>
      <c r="AR62" s="5">
        <f t="shared" si="26"/>
        <v>1.1309733552923256</v>
      </c>
      <c r="AS62" s="5">
        <f t="shared" si="27"/>
        <v>0.52180532894153497</v>
      </c>
      <c r="AT62" s="21">
        <v>2.12</v>
      </c>
      <c r="AU62" s="5">
        <f t="shared" si="28"/>
        <v>2.1058666666666666</v>
      </c>
      <c r="AV62" s="5">
        <f t="shared" si="29"/>
        <v>0.42117333333333334</v>
      </c>
      <c r="AW62" s="5">
        <f t="shared" si="30"/>
        <v>5.2</v>
      </c>
      <c r="AX62" s="5">
        <f t="shared" si="31"/>
        <v>5.5500000000000007</v>
      </c>
      <c r="AY62" s="5">
        <f t="shared" si="32"/>
        <v>1.1100000000000001</v>
      </c>
      <c r="AZ62" s="5">
        <f t="shared" si="33"/>
        <v>2.0529786622748682</v>
      </c>
      <c r="BB62" s="163"/>
      <c r="BC62" s="118"/>
      <c r="BD62" s="118"/>
      <c r="BE62" s="118"/>
      <c r="BF62" s="118"/>
      <c r="BG62" s="183"/>
      <c r="BH62" s="163"/>
      <c r="BI62" s="167"/>
      <c r="BJ62" s="167"/>
      <c r="BK62" s="167"/>
      <c r="BL62" s="167"/>
      <c r="BN62" s="5">
        <f t="shared" si="64"/>
        <v>2.0529786622748682</v>
      </c>
      <c r="BO62" s="5">
        <f t="shared" si="65"/>
        <v>0</v>
      </c>
      <c r="BP62" s="5">
        <f t="shared" si="66"/>
        <v>0</v>
      </c>
      <c r="BQ62" s="5">
        <f t="shared" si="67"/>
        <v>0</v>
      </c>
      <c r="BR62" s="5">
        <f t="shared" si="68"/>
        <v>0</v>
      </c>
      <c r="BS62" s="163">
        <f t="shared" si="69"/>
        <v>0</v>
      </c>
      <c r="BT62" s="163">
        <f t="shared" si="70"/>
        <v>0</v>
      </c>
      <c r="BU62" s="163">
        <f t="shared" si="71"/>
        <v>0</v>
      </c>
      <c r="BV62" s="163">
        <f t="shared" si="72"/>
        <v>0</v>
      </c>
      <c r="BW62" s="163">
        <f t="shared" si="73"/>
        <v>0</v>
      </c>
      <c r="BX62" s="163">
        <f t="shared" si="74"/>
        <v>1</v>
      </c>
      <c r="BY62" s="163">
        <f t="shared" si="75"/>
        <v>0</v>
      </c>
      <c r="BZ62" s="163">
        <f t="shared" si="76"/>
        <v>0</v>
      </c>
      <c r="CA62" s="163">
        <f t="shared" si="77"/>
        <v>0</v>
      </c>
      <c r="CB62" s="163">
        <f t="shared" si="78"/>
        <v>0</v>
      </c>
      <c r="CC62" s="163">
        <f t="shared" si="34"/>
        <v>1</v>
      </c>
      <c r="CD62" s="163">
        <f t="shared" si="35"/>
        <v>0</v>
      </c>
      <c r="CE62" s="163">
        <f t="shared" si="36"/>
        <v>0</v>
      </c>
      <c r="CF62" s="163">
        <f t="shared" si="37"/>
        <v>0</v>
      </c>
      <c r="CG62" s="163">
        <f t="shared" si="38"/>
        <v>0</v>
      </c>
      <c r="CI62" s="167">
        <v>4.8</v>
      </c>
      <c r="CJ62" s="167">
        <v>2.4</v>
      </c>
      <c r="CK62" s="5">
        <f t="shared" si="56"/>
        <v>7.92</v>
      </c>
      <c r="CL62" s="5">
        <f t="shared" si="39"/>
        <v>1.7</v>
      </c>
      <c r="CM62" s="5" t="str">
        <f t="shared" si="40"/>
        <v/>
      </c>
      <c r="CN62" s="5" t="str">
        <f t="shared" si="41"/>
        <v/>
      </c>
      <c r="CO62" s="5" t="str">
        <f t="shared" si="42"/>
        <v/>
      </c>
      <c r="CP62" s="5">
        <f t="shared" si="54"/>
        <v>2.0909999999999997</v>
      </c>
      <c r="CQ62" s="5" t="str">
        <f t="shared" si="43"/>
        <v/>
      </c>
      <c r="CR62" s="5" t="str">
        <f t="shared" si="44"/>
        <v/>
      </c>
      <c r="CS62" s="5" t="str">
        <f t="shared" si="45"/>
        <v/>
      </c>
      <c r="CT62" s="50">
        <f t="shared" si="46"/>
        <v>1</v>
      </c>
      <c r="CU62" s="50">
        <f t="shared" si="47"/>
        <v>0</v>
      </c>
      <c r="CV62" s="50">
        <f t="shared" si="48"/>
        <v>0</v>
      </c>
      <c r="CW62" s="50">
        <f t="shared" si="49"/>
        <v>0</v>
      </c>
      <c r="CX62" s="190">
        <f t="shared" si="55"/>
        <v>1</v>
      </c>
      <c r="CZ62" s="1">
        <v>1.95</v>
      </c>
      <c r="DA62" s="167">
        <f t="shared" si="50"/>
        <v>1.7</v>
      </c>
      <c r="DB62" s="1">
        <f>Alcantarillas!AX67</f>
        <v>11.6</v>
      </c>
      <c r="DC62" s="5">
        <f t="shared" si="51"/>
        <v>38.454000000000001</v>
      </c>
      <c r="DE62" s="172">
        <f t="shared" si="52"/>
        <v>0</v>
      </c>
      <c r="DF62" s="172">
        <f t="shared" si="53"/>
        <v>0</v>
      </c>
    </row>
    <row r="63" spans="2:110" x14ac:dyDescent="0.25">
      <c r="N63">
        <v>58</v>
      </c>
      <c r="O63" s="24">
        <f>Alcantarillas!E68</f>
        <v>17228</v>
      </c>
      <c r="P63" s="160">
        <f>IF(Alcantarillas!J68=1.2,1,0)</f>
        <v>1</v>
      </c>
      <c r="Q63" s="160">
        <f>IF(Alcantarillas!J68=1.3,1,0)</f>
        <v>0</v>
      </c>
      <c r="R63" s="160">
        <f>IF(Alcantarillas!J68=1.4,1,0)</f>
        <v>0</v>
      </c>
      <c r="S63" s="160">
        <f>IF(Alcantarillas!L68=1.2,1,0)</f>
        <v>0</v>
      </c>
      <c r="T63" s="160">
        <f>IF(Alcantarillas!L68=1.5,1,0)</f>
        <v>0</v>
      </c>
      <c r="V63" s="160">
        <f>IF(Alcantarillas!J68=1.2,Alcantarillas!AX68,0)</f>
        <v>11.4</v>
      </c>
      <c r="W63" s="160">
        <f>IF(Alcantarillas!J68=1.3,Alcantarillas!AX68,0)</f>
        <v>0</v>
      </c>
      <c r="X63" s="160">
        <f>IF(Alcantarillas!J68=1.4,Alcantarillas!AX68,0)</f>
        <v>0</v>
      </c>
      <c r="Y63" s="160">
        <f>IF(Alcantarillas!L68=1.2,Alcantarillas!AX68,0)</f>
        <v>0</v>
      </c>
      <c r="Z63" s="160">
        <f>IF(Alcantarillas!L68=1.5,Alcantarillas!AX68,0)</f>
        <v>0</v>
      </c>
      <c r="AB63" s="21"/>
      <c r="AC63" s="5">
        <f t="shared" si="16"/>
        <v>2.2000000000000002</v>
      </c>
      <c r="AD63" s="21"/>
      <c r="AE63" s="5">
        <f t="shared" si="17"/>
        <v>1.1309733552923256</v>
      </c>
      <c r="AF63" s="5">
        <f t="shared" si="18"/>
        <v>0</v>
      </c>
      <c r="AG63" s="21"/>
      <c r="AH63" s="5">
        <f t="shared" si="19"/>
        <v>0</v>
      </c>
      <c r="AI63" s="5">
        <f t="shared" si="20"/>
        <v>0</v>
      </c>
      <c r="AJ63" s="5">
        <f t="shared" si="21"/>
        <v>5.2</v>
      </c>
      <c r="AK63" s="5">
        <f t="shared" si="22"/>
        <v>5.5500000000000007</v>
      </c>
      <c r="AL63" s="5">
        <f t="shared" si="23"/>
        <v>0</v>
      </c>
      <c r="AM63" s="5">
        <f t="shared" si="24"/>
        <v>0</v>
      </c>
      <c r="AO63" s="21">
        <v>1.5</v>
      </c>
      <c r="AP63" s="5">
        <f t="shared" si="25"/>
        <v>2.2000000000000002</v>
      </c>
      <c r="AQ63" s="21">
        <v>0.2</v>
      </c>
      <c r="AR63" s="5">
        <f t="shared" si="26"/>
        <v>1.1309733552923256</v>
      </c>
      <c r="AS63" s="5">
        <f t="shared" si="27"/>
        <v>0.4338053289415349</v>
      </c>
      <c r="AT63" s="21">
        <v>2.12</v>
      </c>
      <c r="AU63" s="5">
        <f t="shared" si="28"/>
        <v>1.6818666666666668</v>
      </c>
      <c r="AV63" s="5">
        <f t="shared" si="29"/>
        <v>0.33637333333333341</v>
      </c>
      <c r="AW63" s="5">
        <f t="shared" si="30"/>
        <v>5.2</v>
      </c>
      <c r="AX63" s="5">
        <f t="shared" si="31"/>
        <v>5.5500000000000007</v>
      </c>
      <c r="AY63" s="5">
        <f t="shared" si="32"/>
        <v>1.1100000000000001</v>
      </c>
      <c r="AZ63" s="5">
        <f t="shared" si="33"/>
        <v>1.8801786622748684</v>
      </c>
      <c r="BB63" s="163"/>
      <c r="BC63" s="118"/>
      <c r="BD63" s="118"/>
      <c r="BE63" s="118"/>
      <c r="BF63" s="118"/>
      <c r="BG63" s="183"/>
      <c r="BH63" s="163"/>
      <c r="BI63" s="167"/>
      <c r="BJ63" s="167"/>
      <c r="BK63" s="167"/>
      <c r="BL63" s="167"/>
      <c r="BN63" s="5">
        <f t="shared" si="64"/>
        <v>1.8801786622748684</v>
      </c>
      <c r="BO63" s="5">
        <f t="shared" si="65"/>
        <v>0</v>
      </c>
      <c r="BP63" s="5">
        <f t="shared" si="66"/>
        <v>0</v>
      </c>
      <c r="BQ63" s="5">
        <f t="shared" si="67"/>
        <v>0</v>
      </c>
      <c r="BR63" s="5">
        <f t="shared" si="68"/>
        <v>0</v>
      </c>
      <c r="BS63" s="163">
        <f t="shared" si="69"/>
        <v>0</v>
      </c>
      <c r="BT63" s="163">
        <f t="shared" si="70"/>
        <v>0</v>
      </c>
      <c r="BU63" s="163">
        <f t="shared" si="71"/>
        <v>0</v>
      </c>
      <c r="BV63" s="163">
        <f t="shared" si="72"/>
        <v>0</v>
      </c>
      <c r="BW63" s="163">
        <f t="shared" si="73"/>
        <v>0</v>
      </c>
      <c r="BX63" s="163">
        <f t="shared" si="74"/>
        <v>1</v>
      </c>
      <c r="BY63" s="163">
        <f t="shared" si="75"/>
        <v>0</v>
      </c>
      <c r="BZ63" s="163">
        <f t="shared" si="76"/>
        <v>0</v>
      </c>
      <c r="CA63" s="163">
        <f t="shared" si="77"/>
        <v>0</v>
      </c>
      <c r="CB63" s="163">
        <f t="shared" si="78"/>
        <v>0</v>
      </c>
      <c r="CC63" s="163">
        <f t="shared" si="34"/>
        <v>1</v>
      </c>
      <c r="CD63" s="163">
        <f t="shared" si="35"/>
        <v>0</v>
      </c>
      <c r="CE63" s="163">
        <f t="shared" si="36"/>
        <v>0</v>
      </c>
      <c r="CF63" s="163">
        <f t="shared" si="37"/>
        <v>0</v>
      </c>
      <c r="CG63" s="163">
        <f t="shared" si="38"/>
        <v>0</v>
      </c>
      <c r="CI63" s="167">
        <v>1.95</v>
      </c>
      <c r="CJ63" s="167">
        <v>3.05</v>
      </c>
      <c r="CK63" s="5">
        <f t="shared" si="56"/>
        <v>5.5</v>
      </c>
      <c r="CL63" s="5">
        <f t="shared" si="39"/>
        <v>1.7</v>
      </c>
      <c r="CM63" s="5" t="str">
        <f t="shared" si="40"/>
        <v/>
      </c>
      <c r="CN63" s="5" t="str">
        <f t="shared" si="41"/>
        <v/>
      </c>
      <c r="CO63" s="5" t="str">
        <f t="shared" si="42"/>
        <v/>
      </c>
      <c r="CP63" s="5">
        <f t="shared" si="54"/>
        <v>1.5299999999999998</v>
      </c>
      <c r="CQ63" s="5" t="str">
        <f t="shared" si="43"/>
        <v/>
      </c>
      <c r="CR63" s="5" t="str">
        <f t="shared" si="44"/>
        <v/>
      </c>
      <c r="CS63" s="5" t="str">
        <f t="shared" si="45"/>
        <v/>
      </c>
      <c r="CT63" s="50">
        <f t="shared" si="46"/>
        <v>1</v>
      </c>
      <c r="CU63" s="50">
        <f t="shared" si="47"/>
        <v>0</v>
      </c>
      <c r="CV63" s="50">
        <f t="shared" si="48"/>
        <v>0</v>
      </c>
      <c r="CW63" s="50">
        <f t="shared" si="49"/>
        <v>0</v>
      </c>
      <c r="CX63" s="190">
        <f t="shared" si="55"/>
        <v>1</v>
      </c>
      <c r="CZ63" s="1">
        <v>1.85</v>
      </c>
      <c r="DA63" s="167">
        <f t="shared" si="50"/>
        <v>1.7</v>
      </c>
      <c r="DB63" s="1">
        <f>Alcantarillas!AX68</f>
        <v>11.4</v>
      </c>
      <c r="DC63" s="5">
        <f t="shared" si="51"/>
        <v>35.853000000000002</v>
      </c>
      <c r="DE63" s="172">
        <f t="shared" si="52"/>
        <v>0</v>
      </c>
      <c r="DF63" s="172">
        <f t="shared" si="53"/>
        <v>0</v>
      </c>
    </row>
    <row r="64" spans="2:110" x14ac:dyDescent="0.25">
      <c r="N64">
        <v>59</v>
      </c>
      <c r="O64" s="24">
        <f>Alcantarillas!E69</f>
        <v>17385</v>
      </c>
      <c r="P64" s="160">
        <f>IF(Alcantarillas!J69=1.2,1,0)</f>
        <v>1</v>
      </c>
      <c r="Q64" s="160">
        <f>IF(Alcantarillas!J69=1.3,1,0)</f>
        <v>0</v>
      </c>
      <c r="R64" s="160">
        <f>IF(Alcantarillas!J69=1.4,1,0)</f>
        <v>0</v>
      </c>
      <c r="S64" s="160">
        <f>IF(Alcantarillas!L69=1.2,1,0)</f>
        <v>0</v>
      </c>
      <c r="T64" s="160">
        <f>IF(Alcantarillas!L69=1.5,1,0)</f>
        <v>0</v>
      </c>
      <c r="V64" s="160">
        <f>IF(Alcantarillas!J69=1.2,Alcantarillas!AX69,0)</f>
        <v>11.8</v>
      </c>
      <c r="W64" s="160">
        <f>IF(Alcantarillas!J69=1.3,Alcantarillas!AX69,0)</f>
        <v>0</v>
      </c>
      <c r="X64" s="160">
        <f>IF(Alcantarillas!J69=1.4,Alcantarillas!AX69,0)</f>
        <v>0</v>
      </c>
      <c r="Y64" s="160">
        <f>IF(Alcantarillas!L69=1.2,Alcantarillas!AX69,0)</f>
        <v>0</v>
      </c>
      <c r="Z64" s="160">
        <f>IF(Alcantarillas!L69=1.5,Alcantarillas!AX69,0)</f>
        <v>0</v>
      </c>
      <c r="AB64" s="21"/>
      <c r="AC64" s="5">
        <f t="shared" si="16"/>
        <v>2.2000000000000002</v>
      </c>
      <c r="AD64" s="21"/>
      <c r="AE64" s="5">
        <f t="shared" si="17"/>
        <v>1.1309733552923256</v>
      </c>
      <c r="AF64" s="5">
        <f t="shared" si="18"/>
        <v>0</v>
      </c>
      <c r="AG64" s="21"/>
      <c r="AH64" s="5">
        <f t="shared" si="19"/>
        <v>0</v>
      </c>
      <c r="AI64" s="5">
        <f t="shared" si="20"/>
        <v>0</v>
      </c>
      <c r="AJ64" s="5">
        <f t="shared" si="21"/>
        <v>5.2</v>
      </c>
      <c r="AK64" s="5">
        <f t="shared" si="22"/>
        <v>5.5500000000000007</v>
      </c>
      <c r="AL64" s="5">
        <f t="shared" si="23"/>
        <v>0</v>
      </c>
      <c r="AM64" s="5">
        <f t="shared" si="24"/>
        <v>0</v>
      </c>
      <c r="AO64" s="21">
        <v>1.5</v>
      </c>
      <c r="AP64" s="5">
        <f t="shared" si="25"/>
        <v>2.2000000000000002</v>
      </c>
      <c r="AQ64" s="21">
        <v>0.2</v>
      </c>
      <c r="AR64" s="5">
        <f t="shared" si="26"/>
        <v>1.1309733552923256</v>
      </c>
      <c r="AS64" s="5">
        <f t="shared" si="27"/>
        <v>0.4338053289415349</v>
      </c>
      <c r="AT64" s="21">
        <v>2.12</v>
      </c>
      <c r="AU64" s="5">
        <f t="shared" si="28"/>
        <v>1.6818666666666668</v>
      </c>
      <c r="AV64" s="5">
        <f t="shared" si="29"/>
        <v>0.33637333333333341</v>
      </c>
      <c r="AW64" s="5">
        <f t="shared" si="30"/>
        <v>5.2</v>
      </c>
      <c r="AX64" s="5">
        <f t="shared" si="31"/>
        <v>5.5500000000000007</v>
      </c>
      <c r="AY64" s="5">
        <f t="shared" si="32"/>
        <v>1.1100000000000001</v>
      </c>
      <c r="AZ64" s="5">
        <f t="shared" si="33"/>
        <v>1.8801786622748684</v>
      </c>
      <c r="BB64" s="163"/>
      <c r="BC64" s="118"/>
      <c r="BD64" s="118"/>
      <c r="BE64" s="118"/>
      <c r="BF64" s="118"/>
      <c r="BG64" s="183"/>
      <c r="BH64" s="163"/>
      <c r="BI64" s="167"/>
      <c r="BJ64" s="167"/>
      <c r="BK64" s="167"/>
      <c r="BL64" s="167"/>
      <c r="BN64" s="5">
        <f t="shared" si="64"/>
        <v>1.8801786622748684</v>
      </c>
      <c r="BO64" s="5">
        <f t="shared" si="65"/>
        <v>0</v>
      </c>
      <c r="BP64" s="5">
        <f t="shared" si="66"/>
        <v>0</v>
      </c>
      <c r="BQ64" s="5">
        <f t="shared" si="67"/>
        <v>0</v>
      </c>
      <c r="BR64" s="5">
        <f t="shared" si="68"/>
        <v>0</v>
      </c>
      <c r="BS64" s="163">
        <f t="shared" si="69"/>
        <v>0</v>
      </c>
      <c r="BT64" s="163">
        <f t="shared" si="70"/>
        <v>0</v>
      </c>
      <c r="BU64" s="163">
        <f t="shared" si="71"/>
        <v>0</v>
      </c>
      <c r="BV64" s="163">
        <f t="shared" si="72"/>
        <v>0</v>
      </c>
      <c r="BW64" s="163">
        <f t="shared" si="73"/>
        <v>0</v>
      </c>
      <c r="BX64" s="163">
        <f t="shared" si="74"/>
        <v>1</v>
      </c>
      <c r="BY64" s="163">
        <f t="shared" si="75"/>
        <v>0</v>
      </c>
      <c r="BZ64" s="163">
        <f t="shared" si="76"/>
        <v>0</v>
      </c>
      <c r="CA64" s="163">
        <f t="shared" si="77"/>
        <v>0</v>
      </c>
      <c r="CB64" s="163">
        <f t="shared" si="78"/>
        <v>0</v>
      </c>
      <c r="CC64" s="163">
        <f t="shared" si="34"/>
        <v>1</v>
      </c>
      <c r="CD64" s="163">
        <f t="shared" si="35"/>
        <v>0</v>
      </c>
      <c r="CE64" s="163">
        <f t="shared" si="36"/>
        <v>0</v>
      </c>
      <c r="CF64" s="163">
        <f t="shared" si="37"/>
        <v>0</v>
      </c>
      <c r="CG64" s="163">
        <f t="shared" si="38"/>
        <v>0</v>
      </c>
      <c r="CI64" s="167">
        <v>1.95</v>
      </c>
      <c r="CJ64" s="167">
        <v>4.4000000000000004</v>
      </c>
      <c r="CK64" s="5">
        <f t="shared" si="56"/>
        <v>6.9850000000000012</v>
      </c>
      <c r="CL64" s="5">
        <f t="shared" si="39"/>
        <v>1.7</v>
      </c>
      <c r="CM64" s="5" t="str">
        <f t="shared" si="40"/>
        <v/>
      </c>
      <c r="CN64" s="5" t="str">
        <f t="shared" si="41"/>
        <v/>
      </c>
      <c r="CO64" s="5" t="str">
        <f t="shared" si="42"/>
        <v/>
      </c>
      <c r="CP64" s="5">
        <f t="shared" si="54"/>
        <v>1.8742499999999997</v>
      </c>
      <c r="CQ64" s="5" t="str">
        <f t="shared" si="43"/>
        <v/>
      </c>
      <c r="CR64" s="5" t="str">
        <f t="shared" si="44"/>
        <v/>
      </c>
      <c r="CS64" s="5" t="str">
        <f t="shared" si="45"/>
        <v/>
      </c>
      <c r="CT64" s="50">
        <f t="shared" si="46"/>
        <v>1</v>
      </c>
      <c r="CU64" s="50">
        <f t="shared" si="47"/>
        <v>0</v>
      </c>
      <c r="CV64" s="50">
        <f t="shared" si="48"/>
        <v>0</v>
      </c>
      <c r="CW64" s="50">
        <f t="shared" si="49"/>
        <v>0</v>
      </c>
      <c r="CX64" s="190">
        <f t="shared" si="55"/>
        <v>1</v>
      </c>
      <c r="CZ64" s="1">
        <v>2</v>
      </c>
      <c r="DA64" s="167">
        <f t="shared" si="50"/>
        <v>1.7</v>
      </c>
      <c r="DB64" s="1">
        <f>Alcantarillas!AX69</f>
        <v>11.8</v>
      </c>
      <c r="DC64" s="5">
        <f t="shared" si="51"/>
        <v>40.120000000000005</v>
      </c>
      <c r="DE64" s="172">
        <f t="shared" si="52"/>
        <v>0</v>
      </c>
      <c r="DF64" s="172">
        <f t="shared" si="53"/>
        <v>0</v>
      </c>
    </row>
    <row r="65" spans="2:110" x14ac:dyDescent="0.25">
      <c r="B65" s="240" t="s">
        <v>192</v>
      </c>
      <c r="C65" s="240"/>
      <c r="D65" s="240"/>
      <c r="E65" s="191" t="s">
        <v>314</v>
      </c>
      <c r="F65" s="191" t="s">
        <v>86</v>
      </c>
      <c r="N65">
        <v>60</v>
      </c>
      <c r="O65" s="24">
        <f>Alcantarillas!E70</f>
        <v>17585</v>
      </c>
      <c r="P65" s="160">
        <f>IF(Alcantarillas!J70=1.2,1,0)</f>
        <v>1</v>
      </c>
      <c r="Q65" s="160">
        <f>IF(Alcantarillas!J70=1.3,1,0)</f>
        <v>0</v>
      </c>
      <c r="R65" s="160">
        <f>IF(Alcantarillas!J70=1.4,1,0)</f>
        <v>0</v>
      </c>
      <c r="S65" s="160">
        <f>IF(Alcantarillas!L70=1.2,1,0)</f>
        <v>0</v>
      </c>
      <c r="T65" s="160">
        <f>IF(Alcantarillas!L70=1.5,1,0)</f>
        <v>0</v>
      </c>
      <c r="V65" s="160">
        <f>IF(Alcantarillas!J70=1.2,Alcantarillas!AX70,0)</f>
        <v>11.4</v>
      </c>
      <c r="W65" s="160">
        <f>IF(Alcantarillas!J70=1.3,Alcantarillas!AX70,0)</f>
        <v>0</v>
      </c>
      <c r="X65" s="160">
        <f>IF(Alcantarillas!J70=1.4,Alcantarillas!AX70,0)</f>
        <v>0</v>
      </c>
      <c r="Y65" s="160">
        <f>IF(Alcantarillas!L70=1.2,Alcantarillas!AX70,0)</f>
        <v>0</v>
      </c>
      <c r="Z65" s="160">
        <f>IF(Alcantarillas!L70=1.5,Alcantarillas!AX70,0)</f>
        <v>0</v>
      </c>
      <c r="AB65" s="21"/>
      <c r="AC65" s="5">
        <f t="shared" si="16"/>
        <v>2.2000000000000002</v>
      </c>
      <c r="AD65" s="21"/>
      <c r="AE65" s="5">
        <f t="shared" si="17"/>
        <v>1.1309733552923256</v>
      </c>
      <c r="AF65" s="5">
        <f t="shared" si="18"/>
        <v>0</v>
      </c>
      <c r="AG65" s="21"/>
      <c r="AH65" s="5">
        <f t="shared" si="19"/>
        <v>0</v>
      </c>
      <c r="AI65" s="5">
        <f t="shared" si="20"/>
        <v>0</v>
      </c>
      <c r="AJ65" s="5">
        <f t="shared" si="21"/>
        <v>5.2</v>
      </c>
      <c r="AK65" s="5">
        <f t="shared" si="22"/>
        <v>5.5500000000000007</v>
      </c>
      <c r="AL65" s="5">
        <f t="shared" si="23"/>
        <v>0</v>
      </c>
      <c r="AM65" s="5">
        <f t="shared" si="24"/>
        <v>0</v>
      </c>
      <c r="AO65" s="21">
        <v>1.5</v>
      </c>
      <c r="AP65" s="5">
        <f t="shared" si="25"/>
        <v>2.2000000000000002</v>
      </c>
      <c r="AQ65" s="21">
        <v>0.2</v>
      </c>
      <c r="AR65" s="5">
        <f t="shared" si="26"/>
        <v>1.1309733552923256</v>
      </c>
      <c r="AS65" s="5">
        <f t="shared" si="27"/>
        <v>0.4338053289415349</v>
      </c>
      <c r="AT65" s="21">
        <v>2.12</v>
      </c>
      <c r="AU65" s="5">
        <f t="shared" si="28"/>
        <v>1.6818666666666668</v>
      </c>
      <c r="AV65" s="5">
        <f t="shared" si="29"/>
        <v>0.33637333333333341</v>
      </c>
      <c r="AW65" s="5">
        <f t="shared" si="30"/>
        <v>5.2</v>
      </c>
      <c r="AX65" s="5">
        <f t="shared" si="31"/>
        <v>5.5500000000000007</v>
      </c>
      <c r="AY65" s="5">
        <f t="shared" si="32"/>
        <v>1.1100000000000001</v>
      </c>
      <c r="AZ65" s="5">
        <f t="shared" si="33"/>
        <v>1.8801786622748684</v>
      </c>
      <c r="BB65" s="163"/>
      <c r="BC65" s="118"/>
      <c r="BD65" s="118"/>
      <c r="BE65" s="118"/>
      <c r="BF65" s="118"/>
      <c r="BG65" s="183"/>
      <c r="BH65" s="163"/>
      <c r="BI65" s="167"/>
      <c r="BJ65" s="167"/>
      <c r="BK65" s="167"/>
      <c r="BL65" s="167"/>
      <c r="BN65" s="5">
        <f t="shared" si="64"/>
        <v>1.8801786622748684</v>
      </c>
      <c r="BO65" s="5">
        <f t="shared" si="65"/>
        <v>0</v>
      </c>
      <c r="BP65" s="5">
        <f t="shared" si="66"/>
        <v>0</v>
      </c>
      <c r="BQ65" s="5">
        <f t="shared" si="67"/>
        <v>0</v>
      </c>
      <c r="BR65" s="5">
        <f t="shared" si="68"/>
        <v>0</v>
      </c>
      <c r="BS65" s="163">
        <f t="shared" si="69"/>
        <v>0</v>
      </c>
      <c r="BT65" s="163">
        <f t="shared" si="70"/>
        <v>0</v>
      </c>
      <c r="BU65" s="163">
        <f t="shared" si="71"/>
        <v>0</v>
      </c>
      <c r="BV65" s="163">
        <f t="shared" si="72"/>
        <v>0</v>
      </c>
      <c r="BW65" s="163">
        <f t="shared" si="73"/>
        <v>0</v>
      </c>
      <c r="BX65" s="163">
        <f t="shared" si="74"/>
        <v>1</v>
      </c>
      <c r="BY65" s="163">
        <f t="shared" si="75"/>
        <v>0</v>
      </c>
      <c r="BZ65" s="163">
        <f t="shared" si="76"/>
        <v>0</v>
      </c>
      <c r="CA65" s="163">
        <f t="shared" si="77"/>
        <v>0</v>
      </c>
      <c r="CB65" s="163">
        <f t="shared" si="78"/>
        <v>0</v>
      </c>
      <c r="CC65" s="163">
        <f t="shared" si="34"/>
        <v>1</v>
      </c>
      <c r="CD65" s="163">
        <f t="shared" si="35"/>
        <v>0</v>
      </c>
      <c r="CE65" s="163">
        <f t="shared" si="36"/>
        <v>0</v>
      </c>
      <c r="CF65" s="163">
        <f t="shared" si="37"/>
        <v>0</v>
      </c>
      <c r="CG65" s="163">
        <f t="shared" si="38"/>
        <v>0</v>
      </c>
      <c r="CI65" s="167">
        <v>1.95</v>
      </c>
      <c r="CJ65" s="167">
        <v>3.5</v>
      </c>
      <c r="CK65" s="5">
        <f t="shared" si="56"/>
        <v>5.995000000000001</v>
      </c>
      <c r="CL65" s="5">
        <f t="shared" si="39"/>
        <v>1.7</v>
      </c>
      <c r="CM65" s="5" t="str">
        <f t="shared" si="40"/>
        <v/>
      </c>
      <c r="CN65" s="5" t="str">
        <f t="shared" si="41"/>
        <v/>
      </c>
      <c r="CO65" s="5" t="str">
        <f t="shared" si="42"/>
        <v/>
      </c>
      <c r="CP65" s="5">
        <f t="shared" si="54"/>
        <v>1.6447499999999999</v>
      </c>
      <c r="CQ65" s="5" t="str">
        <f t="shared" si="43"/>
        <v/>
      </c>
      <c r="CR65" s="5" t="str">
        <f t="shared" si="44"/>
        <v/>
      </c>
      <c r="CS65" s="5" t="str">
        <f t="shared" si="45"/>
        <v/>
      </c>
      <c r="CT65" s="50">
        <f t="shared" si="46"/>
        <v>1</v>
      </c>
      <c r="CU65" s="50">
        <f t="shared" si="47"/>
        <v>0</v>
      </c>
      <c r="CV65" s="50">
        <f t="shared" si="48"/>
        <v>0</v>
      </c>
      <c r="CW65" s="50">
        <f t="shared" si="49"/>
        <v>0</v>
      </c>
      <c r="CX65" s="190">
        <f t="shared" si="55"/>
        <v>1</v>
      </c>
      <c r="CZ65" s="1">
        <v>2</v>
      </c>
      <c r="DA65" s="167">
        <f t="shared" si="50"/>
        <v>1.7</v>
      </c>
      <c r="DB65" s="1">
        <f>Alcantarillas!AX70</f>
        <v>11.4</v>
      </c>
      <c r="DC65" s="5">
        <f t="shared" si="51"/>
        <v>38.76</v>
      </c>
      <c r="DE65" s="172">
        <f t="shared" si="52"/>
        <v>0</v>
      </c>
      <c r="DF65" s="172">
        <f t="shared" si="53"/>
        <v>0</v>
      </c>
    </row>
    <row r="66" spans="2:110" x14ac:dyDescent="0.25">
      <c r="B66" s="240"/>
      <c r="C66" s="240"/>
      <c r="D66" s="240"/>
      <c r="E66" s="191" t="s">
        <v>64</v>
      </c>
      <c r="F66" s="191" t="s">
        <v>95</v>
      </c>
      <c r="N66">
        <v>61</v>
      </c>
      <c r="O66" s="24">
        <f>Alcantarillas!E71</f>
        <v>18037.5</v>
      </c>
      <c r="P66" s="160">
        <f>IF(Alcantarillas!J71=1.2,1,0)</f>
        <v>1</v>
      </c>
      <c r="Q66" s="160">
        <f>IF(Alcantarillas!J71=1.3,1,0)</f>
        <v>0</v>
      </c>
      <c r="R66" s="160">
        <f>IF(Alcantarillas!J71=1.4,1,0)</f>
        <v>0</v>
      </c>
      <c r="S66" s="160">
        <f>IF(Alcantarillas!L71=1.2,1,0)</f>
        <v>0</v>
      </c>
      <c r="T66" s="160">
        <f>IF(Alcantarillas!L71=1.5,1,0)</f>
        <v>0</v>
      </c>
      <c r="V66" s="160">
        <f>IF(Alcantarillas!J71=1.2,Alcantarillas!AX71,0)</f>
        <v>11.4</v>
      </c>
      <c r="W66" s="160">
        <f>IF(Alcantarillas!J71=1.3,Alcantarillas!AX71,0)</f>
        <v>0</v>
      </c>
      <c r="X66" s="160">
        <f>IF(Alcantarillas!J71=1.4,Alcantarillas!AX71,0)</f>
        <v>0</v>
      </c>
      <c r="Y66" s="160">
        <f>IF(Alcantarillas!L71=1.2,Alcantarillas!AX71,0)</f>
        <v>0</v>
      </c>
      <c r="Z66" s="160">
        <f>IF(Alcantarillas!L71=1.5,Alcantarillas!AX71,0)</f>
        <v>0</v>
      </c>
      <c r="AB66" s="21"/>
      <c r="AC66" s="5">
        <f t="shared" si="16"/>
        <v>2.2000000000000002</v>
      </c>
      <c r="AD66" s="21"/>
      <c r="AE66" s="5">
        <f t="shared" si="17"/>
        <v>1.1309733552923256</v>
      </c>
      <c r="AF66" s="5">
        <f t="shared" si="18"/>
        <v>0</v>
      </c>
      <c r="AG66" s="21"/>
      <c r="AH66" s="5">
        <f t="shared" si="19"/>
        <v>0</v>
      </c>
      <c r="AI66" s="5">
        <f t="shared" si="20"/>
        <v>0</v>
      </c>
      <c r="AJ66" s="5">
        <f t="shared" si="21"/>
        <v>5.2</v>
      </c>
      <c r="AK66" s="5">
        <f t="shared" si="22"/>
        <v>5.5500000000000007</v>
      </c>
      <c r="AL66" s="5">
        <f t="shared" si="23"/>
        <v>0</v>
      </c>
      <c r="AM66" s="5">
        <f t="shared" si="24"/>
        <v>0</v>
      </c>
      <c r="AO66" s="21">
        <v>1.5</v>
      </c>
      <c r="AP66" s="5">
        <f t="shared" si="25"/>
        <v>2.2000000000000002</v>
      </c>
      <c r="AQ66" s="21">
        <v>0.2</v>
      </c>
      <c r="AR66" s="5">
        <f t="shared" si="26"/>
        <v>1.1309733552923256</v>
      </c>
      <c r="AS66" s="5">
        <f t="shared" si="27"/>
        <v>0.4338053289415349</v>
      </c>
      <c r="AT66" s="21">
        <v>2.12</v>
      </c>
      <c r="AU66" s="5">
        <f t="shared" si="28"/>
        <v>1.6818666666666668</v>
      </c>
      <c r="AV66" s="5">
        <f t="shared" si="29"/>
        <v>0.33637333333333341</v>
      </c>
      <c r="AW66" s="5">
        <f t="shared" si="30"/>
        <v>5.2</v>
      </c>
      <c r="AX66" s="5">
        <f t="shared" si="31"/>
        <v>5.5500000000000007</v>
      </c>
      <c r="AY66" s="5">
        <f t="shared" si="32"/>
        <v>1.1100000000000001</v>
      </c>
      <c r="AZ66" s="5">
        <f t="shared" si="33"/>
        <v>1.8801786622748684</v>
      </c>
      <c r="BB66" s="163"/>
      <c r="BC66" s="118"/>
      <c r="BD66" s="118"/>
      <c r="BE66" s="118"/>
      <c r="BF66" s="118"/>
      <c r="BG66" s="183"/>
      <c r="BH66" s="163"/>
      <c r="BI66" s="167"/>
      <c r="BJ66" s="167"/>
      <c r="BK66" s="167"/>
      <c r="BL66" s="167"/>
      <c r="BN66" s="5">
        <f t="shared" si="64"/>
        <v>1.8801786622748684</v>
      </c>
      <c r="BO66" s="5">
        <f t="shared" si="65"/>
        <v>0</v>
      </c>
      <c r="BP66" s="5">
        <f t="shared" si="66"/>
        <v>0</v>
      </c>
      <c r="BQ66" s="5">
        <f t="shared" si="67"/>
        <v>0</v>
      </c>
      <c r="BR66" s="5">
        <f t="shared" si="68"/>
        <v>0</v>
      </c>
      <c r="BS66" s="163">
        <f t="shared" si="69"/>
        <v>0</v>
      </c>
      <c r="BT66" s="163">
        <f t="shared" si="70"/>
        <v>0</v>
      </c>
      <c r="BU66" s="163">
        <f t="shared" si="71"/>
        <v>0</v>
      </c>
      <c r="BV66" s="163">
        <f t="shared" si="72"/>
        <v>0</v>
      </c>
      <c r="BW66" s="163">
        <f t="shared" si="73"/>
        <v>0</v>
      </c>
      <c r="BX66" s="163">
        <f t="shared" si="74"/>
        <v>1</v>
      </c>
      <c r="BY66" s="163">
        <f t="shared" si="75"/>
        <v>0</v>
      </c>
      <c r="BZ66" s="163">
        <f t="shared" si="76"/>
        <v>0</v>
      </c>
      <c r="CA66" s="163">
        <f t="shared" si="77"/>
        <v>0</v>
      </c>
      <c r="CB66" s="163">
        <f t="shared" si="78"/>
        <v>0</v>
      </c>
      <c r="CC66" s="163">
        <f t="shared" si="34"/>
        <v>1</v>
      </c>
      <c r="CD66" s="163">
        <f t="shared" si="35"/>
        <v>0</v>
      </c>
      <c r="CE66" s="163">
        <f t="shared" si="36"/>
        <v>0</v>
      </c>
      <c r="CF66" s="163">
        <f t="shared" si="37"/>
        <v>0</v>
      </c>
      <c r="CG66" s="163">
        <f t="shared" si="38"/>
        <v>0</v>
      </c>
      <c r="CI66" s="167">
        <v>1.95</v>
      </c>
      <c r="CJ66" s="167">
        <v>4.3</v>
      </c>
      <c r="CK66" s="5">
        <f t="shared" si="56"/>
        <v>6.8750000000000009</v>
      </c>
      <c r="CL66" s="5">
        <f t="shared" si="39"/>
        <v>1.7</v>
      </c>
      <c r="CM66" s="5" t="str">
        <f t="shared" si="40"/>
        <v/>
      </c>
      <c r="CN66" s="5" t="str">
        <f t="shared" si="41"/>
        <v/>
      </c>
      <c r="CO66" s="5" t="str">
        <f t="shared" si="42"/>
        <v/>
      </c>
      <c r="CP66" s="5">
        <f t="shared" si="54"/>
        <v>1.8487499999999999</v>
      </c>
      <c r="CQ66" s="5" t="str">
        <f t="shared" si="43"/>
        <v/>
      </c>
      <c r="CR66" s="5" t="str">
        <f t="shared" si="44"/>
        <v/>
      </c>
      <c r="CS66" s="5" t="str">
        <f t="shared" si="45"/>
        <v/>
      </c>
      <c r="CT66" s="50">
        <f t="shared" si="46"/>
        <v>1</v>
      </c>
      <c r="CU66" s="50">
        <f t="shared" si="47"/>
        <v>0</v>
      </c>
      <c r="CV66" s="50">
        <f t="shared" si="48"/>
        <v>0</v>
      </c>
      <c r="CW66" s="50">
        <f t="shared" si="49"/>
        <v>0</v>
      </c>
      <c r="CX66" s="190">
        <f t="shared" si="55"/>
        <v>1</v>
      </c>
      <c r="CZ66" s="1">
        <v>2</v>
      </c>
      <c r="DA66" s="167">
        <f t="shared" si="50"/>
        <v>1.7</v>
      </c>
      <c r="DB66" s="1">
        <f>Alcantarillas!AX71</f>
        <v>11.4</v>
      </c>
      <c r="DC66" s="5">
        <f t="shared" si="51"/>
        <v>38.76</v>
      </c>
      <c r="DE66" s="172">
        <f t="shared" si="52"/>
        <v>0</v>
      </c>
      <c r="DF66" s="172">
        <f t="shared" si="53"/>
        <v>0</v>
      </c>
    </row>
    <row r="67" spans="2:110" x14ac:dyDescent="0.25">
      <c r="B67" s="213" t="s">
        <v>371</v>
      </c>
      <c r="C67" s="213"/>
      <c r="D67" s="213"/>
      <c r="E67" s="50">
        <f>BE116</f>
        <v>626.20000000000005</v>
      </c>
      <c r="F67" s="50">
        <f>BF116</f>
        <v>4527.29</v>
      </c>
      <c r="N67">
        <v>62</v>
      </c>
      <c r="O67" s="24">
        <f>Alcantarillas!E72</f>
        <v>18301.599999999999</v>
      </c>
      <c r="P67" s="160">
        <f>IF(Alcantarillas!J72=1.2,1,0)</f>
        <v>1</v>
      </c>
      <c r="Q67" s="160">
        <f>IF(Alcantarillas!J72=1.3,1,0)</f>
        <v>0</v>
      </c>
      <c r="R67" s="160">
        <f>IF(Alcantarillas!J72=1.4,1,0)</f>
        <v>0</v>
      </c>
      <c r="S67" s="160">
        <f>IF(Alcantarillas!L72=1.2,1,0)</f>
        <v>0</v>
      </c>
      <c r="T67" s="160">
        <f>IF(Alcantarillas!L72=1.5,1,0)</f>
        <v>0</v>
      </c>
      <c r="V67" s="160">
        <f>IF(Alcantarillas!J72=1.2,Alcantarillas!AX72,0)</f>
        <v>8.6</v>
      </c>
      <c r="W67" s="160">
        <f>IF(Alcantarillas!J72=1.3,Alcantarillas!AX72,0)</f>
        <v>0</v>
      </c>
      <c r="X67" s="160">
        <f>IF(Alcantarillas!J72=1.4,Alcantarillas!AX72,0)</f>
        <v>0</v>
      </c>
      <c r="Y67" s="160">
        <f>IF(Alcantarillas!L72=1.2,Alcantarillas!AX72,0)</f>
        <v>0</v>
      </c>
      <c r="Z67" s="160">
        <f>IF(Alcantarillas!L72=1.5,Alcantarillas!AX72,0)</f>
        <v>0</v>
      </c>
      <c r="AB67" s="21"/>
      <c r="AC67" s="5">
        <f t="shared" si="16"/>
        <v>2.2000000000000002</v>
      </c>
      <c r="AD67" s="21"/>
      <c r="AE67" s="5">
        <f t="shared" si="17"/>
        <v>1.1309733552923256</v>
      </c>
      <c r="AF67" s="5">
        <f t="shared" si="18"/>
        <v>0</v>
      </c>
      <c r="AG67" s="21"/>
      <c r="AH67" s="5">
        <f t="shared" si="19"/>
        <v>0</v>
      </c>
      <c r="AI67" s="5">
        <f t="shared" si="20"/>
        <v>0</v>
      </c>
      <c r="AJ67" s="5">
        <f t="shared" si="21"/>
        <v>5.2</v>
      </c>
      <c r="AK67" s="5">
        <f t="shared" si="22"/>
        <v>5.5500000000000007</v>
      </c>
      <c r="AL67" s="5">
        <f t="shared" si="23"/>
        <v>0</v>
      </c>
      <c r="AM67" s="5">
        <f t="shared" si="24"/>
        <v>0</v>
      </c>
      <c r="AO67" s="21">
        <v>2.4</v>
      </c>
      <c r="AP67" s="5">
        <f t="shared" si="25"/>
        <v>2.2000000000000002</v>
      </c>
      <c r="AQ67" s="21">
        <v>0.2</v>
      </c>
      <c r="AR67" s="5">
        <f t="shared" si="26"/>
        <v>1.1309733552923256</v>
      </c>
      <c r="AS67" s="5">
        <f t="shared" si="27"/>
        <v>0.82980532894153503</v>
      </c>
      <c r="AT67" s="21">
        <v>2.12</v>
      </c>
      <c r="AU67" s="5">
        <f t="shared" si="28"/>
        <v>3.5898666666666665</v>
      </c>
      <c r="AV67" s="5">
        <f t="shared" si="29"/>
        <v>0.71797333333333335</v>
      </c>
      <c r="AW67" s="5">
        <f t="shared" si="30"/>
        <v>5.2</v>
      </c>
      <c r="AX67" s="5">
        <f t="shared" si="31"/>
        <v>5.5500000000000007</v>
      </c>
      <c r="AY67" s="5">
        <f t="shared" si="32"/>
        <v>1.1100000000000001</v>
      </c>
      <c r="AZ67" s="5">
        <f t="shared" si="33"/>
        <v>2.6577786622748683</v>
      </c>
      <c r="BB67" s="163"/>
      <c r="BC67" s="118"/>
      <c r="BD67" s="118"/>
      <c r="BE67" s="118"/>
      <c r="BF67" s="118"/>
      <c r="BG67" s="183"/>
      <c r="BH67" s="163"/>
      <c r="BI67" s="167"/>
      <c r="BJ67" s="167"/>
      <c r="BK67" s="167"/>
      <c r="BL67" s="167"/>
      <c r="BN67" s="5">
        <f t="shared" si="64"/>
        <v>2.6577786622748683</v>
      </c>
      <c r="BO67" s="5">
        <f t="shared" si="65"/>
        <v>0</v>
      </c>
      <c r="BP67" s="5">
        <f t="shared" si="66"/>
        <v>0</v>
      </c>
      <c r="BQ67" s="5">
        <f t="shared" si="67"/>
        <v>0</v>
      </c>
      <c r="BR67" s="5">
        <f t="shared" si="68"/>
        <v>0</v>
      </c>
      <c r="BS67" s="163">
        <f t="shared" si="69"/>
        <v>0</v>
      </c>
      <c r="BT67" s="163">
        <f t="shared" si="70"/>
        <v>0</v>
      </c>
      <c r="BU67" s="163">
        <f t="shared" si="71"/>
        <v>0</v>
      </c>
      <c r="BV67" s="163">
        <f t="shared" si="72"/>
        <v>0</v>
      </c>
      <c r="BW67" s="163">
        <f t="shared" si="73"/>
        <v>0</v>
      </c>
      <c r="BX67" s="163">
        <f t="shared" si="74"/>
        <v>1</v>
      </c>
      <c r="BY67" s="163">
        <f t="shared" si="75"/>
        <v>0</v>
      </c>
      <c r="BZ67" s="163">
        <f t="shared" si="76"/>
        <v>0</v>
      </c>
      <c r="CA67" s="163">
        <f t="shared" si="77"/>
        <v>0</v>
      </c>
      <c r="CB67" s="163">
        <f t="shared" si="78"/>
        <v>0</v>
      </c>
      <c r="CC67" s="163">
        <f t="shared" si="34"/>
        <v>1</v>
      </c>
      <c r="CD67" s="163">
        <f t="shared" si="35"/>
        <v>0</v>
      </c>
      <c r="CE67" s="163">
        <f t="shared" si="36"/>
        <v>0</v>
      </c>
      <c r="CF67" s="163">
        <f t="shared" si="37"/>
        <v>0</v>
      </c>
      <c r="CG67" s="163">
        <f t="shared" si="38"/>
        <v>0</v>
      </c>
      <c r="CI67" s="167">
        <v>1.95</v>
      </c>
      <c r="CJ67" s="167">
        <v>3.1</v>
      </c>
      <c r="CK67" s="5">
        <f t="shared" si="56"/>
        <v>5.5550000000000006</v>
      </c>
      <c r="CL67" s="5">
        <f t="shared" si="39"/>
        <v>1.7</v>
      </c>
      <c r="CM67" s="5" t="str">
        <f t="shared" si="40"/>
        <v/>
      </c>
      <c r="CN67" s="5" t="str">
        <f t="shared" si="41"/>
        <v/>
      </c>
      <c r="CO67" s="5" t="str">
        <f t="shared" si="42"/>
        <v/>
      </c>
      <c r="CP67" s="5">
        <f t="shared" si="54"/>
        <v>1.5427499999999996</v>
      </c>
      <c r="CQ67" s="5" t="str">
        <f t="shared" si="43"/>
        <v/>
      </c>
      <c r="CR67" s="5" t="str">
        <f t="shared" si="44"/>
        <v/>
      </c>
      <c r="CS67" s="5" t="str">
        <f t="shared" si="45"/>
        <v/>
      </c>
      <c r="CT67" s="50">
        <f t="shared" si="46"/>
        <v>1</v>
      </c>
      <c r="CU67" s="50">
        <f t="shared" si="47"/>
        <v>0</v>
      </c>
      <c r="CV67" s="50">
        <f t="shared" si="48"/>
        <v>0</v>
      </c>
      <c r="CW67" s="50">
        <f t="shared" si="49"/>
        <v>0</v>
      </c>
      <c r="CX67" s="190">
        <f t="shared" si="55"/>
        <v>1</v>
      </c>
      <c r="CZ67" s="1">
        <v>2</v>
      </c>
      <c r="DA67" s="167">
        <f t="shared" si="50"/>
        <v>1.7</v>
      </c>
      <c r="DB67" s="1">
        <f>Alcantarillas!AX72</f>
        <v>8.6</v>
      </c>
      <c r="DC67" s="5">
        <f t="shared" si="51"/>
        <v>29.24</v>
      </c>
      <c r="DE67" s="172">
        <f t="shared" si="52"/>
        <v>0</v>
      </c>
      <c r="DF67" s="172">
        <f t="shared" si="53"/>
        <v>0</v>
      </c>
    </row>
    <row r="68" spans="2:110" x14ac:dyDescent="0.25">
      <c r="B68" s="213" t="s">
        <v>372</v>
      </c>
      <c r="C68" s="213"/>
      <c r="D68" s="213"/>
      <c r="E68" s="172">
        <f>BK116</f>
        <v>16</v>
      </c>
      <c r="F68" s="50">
        <f>BL116</f>
        <v>115.2</v>
      </c>
      <c r="N68">
        <v>63</v>
      </c>
      <c r="O68" s="24">
        <f>Alcantarillas!E73</f>
        <v>18773</v>
      </c>
      <c r="P68" s="160">
        <f>IF(Alcantarillas!J73=1.2,1,0)</f>
        <v>1</v>
      </c>
      <c r="Q68" s="160">
        <f>IF(Alcantarillas!J73=1.3,1,0)</f>
        <v>0</v>
      </c>
      <c r="R68" s="160">
        <f>IF(Alcantarillas!J73=1.4,1,0)</f>
        <v>0</v>
      </c>
      <c r="S68" s="160">
        <f>IF(Alcantarillas!L73=1.2,1,0)</f>
        <v>0</v>
      </c>
      <c r="T68" s="160">
        <f>IF(Alcantarillas!L73=1.5,1,0)</f>
        <v>0</v>
      </c>
      <c r="V68" s="160">
        <f>IF(Alcantarillas!J73=1.2,Alcantarillas!AX73,0)</f>
        <v>10.95</v>
      </c>
      <c r="W68" s="160">
        <f>IF(Alcantarillas!J73=1.3,Alcantarillas!AX73,0)</f>
        <v>0</v>
      </c>
      <c r="X68" s="160">
        <f>IF(Alcantarillas!J73=1.4,Alcantarillas!AX73,0)</f>
        <v>0</v>
      </c>
      <c r="Y68" s="160">
        <f>IF(Alcantarillas!L73=1.2,Alcantarillas!AX73,0)</f>
        <v>0</v>
      </c>
      <c r="Z68" s="160">
        <f>IF(Alcantarillas!L73=1.5,Alcantarillas!AX73,0)</f>
        <v>0</v>
      </c>
      <c r="AB68" s="21"/>
      <c r="AC68" s="5">
        <f t="shared" si="16"/>
        <v>2.2000000000000002</v>
      </c>
      <c r="AD68" s="21"/>
      <c r="AE68" s="5">
        <f t="shared" si="17"/>
        <v>1.1309733552923256</v>
      </c>
      <c r="AF68" s="5">
        <f t="shared" si="18"/>
        <v>0</v>
      </c>
      <c r="AG68" s="21"/>
      <c r="AH68" s="5">
        <f t="shared" si="19"/>
        <v>0</v>
      </c>
      <c r="AI68" s="5">
        <f t="shared" si="20"/>
        <v>0</v>
      </c>
      <c r="AJ68" s="5">
        <f t="shared" si="21"/>
        <v>5.2</v>
      </c>
      <c r="AK68" s="5">
        <f t="shared" si="22"/>
        <v>5.5500000000000007</v>
      </c>
      <c r="AL68" s="5">
        <f t="shared" si="23"/>
        <v>0</v>
      </c>
      <c r="AM68" s="5">
        <f t="shared" si="24"/>
        <v>0</v>
      </c>
      <c r="AO68" s="21">
        <v>1.5</v>
      </c>
      <c r="AP68" s="5">
        <f t="shared" si="25"/>
        <v>2.2000000000000002</v>
      </c>
      <c r="AQ68" s="21">
        <v>0.2</v>
      </c>
      <c r="AR68" s="5">
        <f t="shared" si="26"/>
        <v>1.1309733552923256</v>
      </c>
      <c r="AS68" s="5">
        <f t="shared" si="27"/>
        <v>0.4338053289415349</v>
      </c>
      <c r="AT68" s="21">
        <v>2.12</v>
      </c>
      <c r="AU68" s="5">
        <f t="shared" si="28"/>
        <v>1.6818666666666668</v>
      </c>
      <c r="AV68" s="5">
        <f t="shared" si="29"/>
        <v>0.33637333333333341</v>
      </c>
      <c r="AW68" s="5">
        <f t="shared" si="30"/>
        <v>5.2</v>
      </c>
      <c r="AX68" s="5">
        <f t="shared" si="31"/>
        <v>5.5500000000000007</v>
      </c>
      <c r="AY68" s="5">
        <f t="shared" si="32"/>
        <v>1.1100000000000001</v>
      </c>
      <c r="AZ68" s="5">
        <f t="shared" si="33"/>
        <v>1.8801786622748684</v>
      </c>
      <c r="BB68" s="163"/>
      <c r="BC68" s="118"/>
      <c r="BD68" s="118"/>
      <c r="BE68" s="118"/>
      <c r="BF68" s="118"/>
      <c r="BG68" s="183"/>
      <c r="BH68" s="163"/>
      <c r="BI68" s="167"/>
      <c r="BJ68" s="167"/>
      <c r="BK68" s="167"/>
      <c r="BL68" s="167"/>
      <c r="BN68" s="5">
        <f t="shared" si="64"/>
        <v>1.8801786622748684</v>
      </c>
      <c r="BO68" s="5">
        <f t="shared" si="65"/>
        <v>0</v>
      </c>
      <c r="BP68" s="5">
        <f t="shared" si="66"/>
        <v>0</v>
      </c>
      <c r="BQ68" s="5">
        <f t="shared" si="67"/>
        <v>0</v>
      </c>
      <c r="BR68" s="5">
        <f t="shared" si="68"/>
        <v>0</v>
      </c>
      <c r="BS68" s="163">
        <f t="shared" si="69"/>
        <v>0</v>
      </c>
      <c r="BT68" s="163">
        <f t="shared" si="70"/>
        <v>0</v>
      </c>
      <c r="BU68" s="163">
        <f t="shared" si="71"/>
        <v>0</v>
      </c>
      <c r="BV68" s="163">
        <f t="shared" si="72"/>
        <v>0</v>
      </c>
      <c r="BW68" s="163">
        <f t="shared" si="73"/>
        <v>0</v>
      </c>
      <c r="BX68" s="163">
        <f t="shared" si="74"/>
        <v>1</v>
      </c>
      <c r="BY68" s="163">
        <f t="shared" si="75"/>
        <v>0</v>
      </c>
      <c r="BZ68" s="163">
        <f t="shared" si="76"/>
        <v>0</v>
      </c>
      <c r="CA68" s="163">
        <f t="shared" si="77"/>
        <v>0</v>
      </c>
      <c r="CB68" s="163">
        <f t="shared" si="78"/>
        <v>0</v>
      </c>
      <c r="CC68" s="163">
        <f t="shared" si="34"/>
        <v>1</v>
      </c>
      <c r="CD68" s="163">
        <f t="shared" si="35"/>
        <v>0</v>
      </c>
      <c r="CE68" s="163">
        <f t="shared" si="36"/>
        <v>0</v>
      </c>
      <c r="CF68" s="163">
        <f t="shared" si="37"/>
        <v>0</v>
      </c>
      <c r="CG68" s="163">
        <f t="shared" si="38"/>
        <v>0</v>
      </c>
      <c r="CI68" s="167">
        <v>2.7</v>
      </c>
      <c r="CJ68" s="167">
        <v>1.9</v>
      </c>
      <c r="CK68" s="5">
        <f t="shared" si="56"/>
        <v>5.0599999999999996</v>
      </c>
      <c r="CL68" s="5">
        <f t="shared" si="39"/>
        <v>1.7</v>
      </c>
      <c r="CM68" s="5" t="str">
        <f t="shared" si="40"/>
        <v/>
      </c>
      <c r="CN68" s="5" t="str">
        <f t="shared" si="41"/>
        <v/>
      </c>
      <c r="CO68" s="5" t="str">
        <f t="shared" si="42"/>
        <v/>
      </c>
      <c r="CP68" s="5">
        <f t="shared" si="54"/>
        <v>1.4279999999999999</v>
      </c>
      <c r="CQ68" s="5" t="str">
        <f t="shared" si="43"/>
        <v/>
      </c>
      <c r="CR68" s="5" t="str">
        <f t="shared" si="44"/>
        <v/>
      </c>
      <c r="CS68" s="5" t="str">
        <f t="shared" si="45"/>
        <v/>
      </c>
      <c r="CT68" s="50">
        <f t="shared" si="46"/>
        <v>1</v>
      </c>
      <c r="CU68" s="50">
        <f t="shared" si="47"/>
        <v>0</v>
      </c>
      <c r="CV68" s="50">
        <f t="shared" si="48"/>
        <v>0</v>
      </c>
      <c r="CW68" s="50">
        <f t="shared" si="49"/>
        <v>0</v>
      </c>
      <c r="CX68" s="190">
        <f t="shared" si="55"/>
        <v>1</v>
      </c>
      <c r="CZ68" s="1">
        <v>1.95</v>
      </c>
      <c r="DA68" s="167">
        <f t="shared" si="50"/>
        <v>1.7</v>
      </c>
      <c r="DB68" s="1">
        <f>Alcantarillas!AX73</f>
        <v>10.95</v>
      </c>
      <c r="DC68" s="5">
        <f t="shared" si="51"/>
        <v>36.299249999999994</v>
      </c>
      <c r="DE68" s="172">
        <f t="shared" si="52"/>
        <v>0</v>
      </c>
      <c r="DF68" s="172">
        <f t="shared" si="53"/>
        <v>0</v>
      </c>
    </row>
    <row r="69" spans="2:110" x14ac:dyDescent="0.25">
      <c r="N69">
        <v>64</v>
      </c>
      <c r="O69" s="24">
        <f>Alcantarillas!E74</f>
        <v>19002</v>
      </c>
      <c r="P69" s="160">
        <f>IF(Alcantarillas!J74=1.2,1,0)</f>
        <v>1</v>
      </c>
      <c r="Q69" s="160">
        <f>IF(Alcantarillas!J74=1.3,1,0)</f>
        <v>0</v>
      </c>
      <c r="R69" s="160">
        <f>IF(Alcantarillas!J74=1.4,1,0)</f>
        <v>0</v>
      </c>
      <c r="S69" s="160">
        <f>IF(Alcantarillas!L74=1.2,1,0)</f>
        <v>0</v>
      </c>
      <c r="T69" s="160">
        <f>IF(Alcantarillas!L74=1.5,1,0)</f>
        <v>0</v>
      </c>
      <c r="V69" s="160">
        <f>IF(Alcantarillas!J74=1.2,Alcantarillas!AX74,0)</f>
        <v>8.6999999999999993</v>
      </c>
      <c r="W69" s="160">
        <f>IF(Alcantarillas!J74=1.3,Alcantarillas!AX74,0)</f>
        <v>0</v>
      </c>
      <c r="X69" s="160">
        <f>IF(Alcantarillas!J74=1.4,Alcantarillas!AX74,0)</f>
        <v>0</v>
      </c>
      <c r="Y69" s="160">
        <f>IF(Alcantarillas!L74=1.2,Alcantarillas!AX74,0)</f>
        <v>0</v>
      </c>
      <c r="Z69" s="160">
        <f>IF(Alcantarillas!L74=1.5,Alcantarillas!AX74,0)</f>
        <v>0</v>
      </c>
      <c r="AB69" s="21"/>
      <c r="AC69" s="5">
        <f t="shared" si="16"/>
        <v>2.2000000000000002</v>
      </c>
      <c r="AD69" s="21"/>
      <c r="AE69" s="5">
        <f t="shared" si="17"/>
        <v>1.1309733552923256</v>
      </c>
      <c r="AF69" s="5">
        <f t="shared" si="18"/>
        <v>0</v>
      </c>
      <c r="AG69" s="21"/>
      <c r="AH69" s="5">
        <f t="shared" si="19"/>
        <v>0</v>
      </c>
      <c r="AI69" s="5">
        <f t="shared" si="20"/>
        <v>0</v>
      </c>
      <c r="AJ69" s="5">
        <f t="shared" si="21"/>
        <v>5.2</v>
      </c>
      <c r="AK69" s="5">
        <f t="shared" si="22"/>
        <v>5.5500000000000007</v>
      </c>
      <c r="AL69" s="5">
        <f t="shared" si="23"/>
        <v>0</v>
      </c>
      <c r="AM69" s="5">
        <f t="shared" si="24"/>
        <v>0</v>
      </c>
      <c r="AO69" s="21">
        <v>2.6</v>
      </c>
      <c r="AP69" s="5">
        <f t="shared" si="25"/>
        <v>2.2000000000000002</v>
      </c>
      <c r="AQ69" s="21">
        <v>0.2</v>
      </c>
      <c r="AR69" s="5">
        <f t="shared" si="26"/>
        <v>1.1309733552923256</v>
      </c>
      <c r="AS69" s="5">
        <f t="shared" si="27"/>
        <v>0.9178053289415351</v>
      </c>
      <c r="AT69" s="21">
        <v>2.12</v>
      </c>
      <c r="AU69" s="5">
        <f t="shared" si="28"/>
        <v>4.0138666666666669</v>
      </c>
      <c r="AV69" s="5">
        <f t="shared" si="29"/>
        <v>0.80277333333333345</v>
      </c>
      <c r="AW69" s="5">
        <f t="shared" si="30"/>
        <v>5.2</v>
      </c>
      <c r="AX69" s="5">
        <f t="shared" si="31"/>
        <v>5.5500000000000007</v>
      </c>
      <c r="AY69" s="5">
        <f t="shared" si="32"/>
        <v>1.1100000000000001</v>
      </c>
      <c r="AZ69" s="5">
        <f t="shared" si="33"/>
        <v>2.8305786622748688</v>
      </c>
      <c r="BB69" s="163"/>
      <c r="BC69" s="118"/>
      <c r="BD69" s="118"/>
      <c r="BE69" s="118"/>
      <c r="BF69" s="118"/>
      <c r="BG69" s="183"/>
      <c r="BH69" s="163"/>
      <c r="BI69" s="167"/>
      <c r="BJ69" s="167"/>
      <c r="BK69" s="167"/>
      <c r="BL69" s="167"/>
      <c r="BN69" s="5">
        <f t="shared" si="64"/>
        <v>2.8305786622748688</v>
      </c>
      <c r="BO69" s="5">
        <f t="shared" si="65"/>
        <v>0</v>
      </c>
      <c r="BP69" s="5">
        <f t="shared" si="66"/>
        <v>0</v>
      </c>
      <c r="BQ69" s="5">
        <f t="shared" si="67"/>
        <v>0</v>
      </c>
      <c r="BR69" s="5">
        <f t="shared" si="68"/>
        <v>0</v>
      </c>
      <c r="BS69" s="163">
        <f t="shared" si="69"/>
        <v>0</v>
      </c>
      <c r="BT69" s="163">
        <f t="shared" si="70"/>
        <v>0</v>
      </c>
      <c r="BU69" s="163">
        <f t="shared" si="71"/>
        <v>0</v>
      </c>
      <c r="BV69" s="163">
        <f t="shared" si="72"/>
        <v>0</v>
      </c>
      <c r="BW69" s="163">
        <f t="shared" si="73"/>
        <v>0</v>
      </c>
      <c r="BX69" s="163">
        <f t="shared" si="74"/>
        <v>1</v>
      </c>
      <c r="BY69" s="163">
        <f t="shared" si="75"/>
        <v>0</v>
      </c>
      <c r="BZ69" s="163">
        <f t="shared" si="76"/>
        <v>0</v>
      </c>
      <c r="CA69" s="163">
        <f t="shared" si="77"/>
        <v>0</v>
      </c>
      <c r="CB69" s="163">
        <f t="shared" si="78"/>
        <v>0</v>
      </c>
      <c r="CC69" s="163">
        <f t="shared" si="34"/>
        <v>1</v>
      </c>
      <c r="CD69" s="163">
        <f t="shared" si="35"/>
        <v>0</v>
      </c>
      <c r="CE69" s="163">
        <f t="shared" si="36"/>
        <v>0</v>
      </c>
      <c r="CF69" s="163">
        <f t="shared" si="37"/>
        <v>0</v>
      </c>
      <c r="CG69" s="163">
        <f t="shared" si="38"/>
        <v>0</v>
      </c>
      <c r="CI69" s="167">
        <v>3.8</v>
      </c>
      <c r="CJ69" s="167">
        <v>1.9</v>
      </c>
      <c r="CK69" s="5">
        <f t="shared" si="56"/>
        <v>6.27</v>
      </c>
      <c r="CL69" s="5">
        <f t="shared" si="39"/>
        <v>1.7</v>
      </c>
      <c r="CM69" s="5" t="str">
        <f t="shared" si="40"/>
        <v/>
      </c>
      <c r="CN69" s="5" t="str">
        <f t="shared" si="41"/>
        <v/>
      </c>
      <c r="CO69" s="5" t="str">
        <f t="shared" si="42"/>
        <v/>
      </c>
      <c r="CP69" s="5">
        <f t="shared" si="54"/>
        <v>1.7084999999999997</v>
      </c>
      <c r="CQ69" s="5" t="str">
        <f t="shared" si="43"/>
        <v/>
      </c>
      <c r="CR69" s="5" t="str">
        <f t="shared" si="44"/>
        <v/>
      </c>
      <c r="CS69" s="5" t="str">
        <f t="shared" si="45"/>
        <v/>
      </c>
      <c r="CT69" s="50">
        <f t="shared" si="46"/>
        <v>1</v>
      </c>
      <c r="CU69" s="50">
        <f t="shared" si="47"/>
        <v>0</v>
      </c>
      <c r="CV69" s="50">
        <f t="shared" si="48"/>
        <v>0</v>
      </c>
      <c r="CW69" s="50">
        <f t="shared" si="49"/>
        <v>0</v>
      </c>
      <c r="CX69" s="190">
        <f t="shared" si="55"/>
        <v>1</v>
      </c>
      <c r="CZ69" s="1">
        <v>2.1</v>
      </c>
      <c r="DA69" s="167">
        <f t="shared" si="50"/>
        <v>1.7</v>
      </c>
      <c r="DB69" s="1">
        <f>Alcantarillas!AX74</f>
        <v>8.6999999999999993</v>
      </c>
      <c r="DC69" s="5">
        <f t="shared" si="51"/>
        <v>31.058999999999997</v>
      </c>
      <c r="DE69" s="172">
        <f t="shared" si="52"/>
        <v>0</v>
      </c>
      <c r="DF69" s="172">
        <f t="shared" si="53"/>
        <v>0</v>
      </c>
    </row>
    <row r="70" spans="2:110" x14ac:dyDescent="0.25">
      <c r="N70">
        <v>65</v>
      </c>
      <c r="O70" s="24">
        <f>Alcantarillas!E75</f>
        <v>19360</v>
      </c>
      <c r="P70" s="160">
        <f>IF(Alcantarillas!J75=1.2,1,0)</f>
        <v>1</v>
      </c>
      <c r="Q70" s="160">
        <f>IF(Alcantarillas!J75=1.3,1,0)</f>
        <v>0</v>
      </c>
      <c r="R70" s="160">
        <f>IF(Alcantarillas!J75=1.4,1,0)</f>
        <v>0</v>
      </c>
      <c r="S70" s="160">
        <f>IF(Alcantarillas!L75=1.2,1,0)</f>
        <v>0</v>
      </c>
      <c r="T70" s="160">
        <f>IF(Alcantarillas!L75=1.5,1,0)</f>
        <v>0</v>
      </c>
      <c r="V70" s="160">
        <f>IF(Alcantarillas!J75=1.2,Alcantarillas!AX75,0)</f>
        <v>11.2</v>
      </c>
      <c r="W70" s="160">
        <f>IF(Alcantarillas!J75=1.3,Alcantarillas!AX75,0)</f>
        <v>0</v>
      </c>
      <c r="X70" s="160">
        <f>IF(Alcantarillas!J75=1.4,Alcantarillas!AX75,0)</f>
        <v>0</v>
      </c>
      <c r="Y70" s="160">
        <f>IF(Alcantarillas!L75=1.2,Alcantarillas!AX75,0)</f>
        <v>0</v>
      </c>
      <c r="Z70" s="160">
        <f>IF(Alcantarillas!L75=1.5,Alcantarillas!AX75,0)</f>
        <v>0</v>
      </c>
      <c r="AB70" s="21"/>
      <c r="AC70" s="5">
        <f t="shared" si="16"/>
        <v>2.2000000000000002</v>
      </c>
      <c r="AD70" s="21"/>
      <c r="AE70" s="5">
        <f t="shared" si="17"/>
        <v>1.1309733552923256</v>
      </c>
      <c r="AF70" s="5">
        <f t="shared" si="18"/>
        <v>0</v>
      </c>
      <c r="AG70" s="21"/>
      <c r="AH70" s="5">
        <f t="shared" si="19"/>
        <v>0</v>
      </c>
      <c r="AI70" s="5">
        <f t="shared" si="20"/>
        <v>0</v>
      </c>
      <c r="AJ70" s="5">
        <f t="shared" si="21"/>
        <v>5.2</v>
      </c>
      <c r="AK70" s="5">
        <f t="shared" si="22"/>
        <v>5.5500000000000007</v>
      </c>
      <c r="AL70" s="5">
        <f t="shared" si="23"/>
        <v>0</v>
      </c>
      <c r="AM70" s="5">
        <f t="shared" si="24"/>
        <v>0</v>
      </c>
      <c r="AO70" s="21">
        <v>1.5</v>
      </c>
      <c r="AP70" s="5">
        <f t="shared" si="25"/>
        <v>2.2000000000000002</v>
      </c>
      <c r="AQ70" s="21">
        <v>0.2</v>
      </c>
      <c r="AR70" s="5">
        <f t="shared" si="26"/>
        <v>1.1309733552923256</v>
      </c>
      <c r="AS70" s="5">
        <f t="shared" si="27"/>
        <v>0.4338053289415349</v>
      </c>
      <c r="AT70" s="21">
        <v>2.12</v>
      </c>
      <c r="AU70" s="5">
        <f t="shared" si="28"/>
        <v>1.6818666666666668</v>
      </c>
      <c r="AV70" s="5">
        <f t="shared" si="29"/>
        <v>0.33637333333333341</v>
      </c>
      <c r="AW70" s="5">
        <f t="shared" si="30"/>
        <v>5.2</v>
      </c>
      <c r="AX70" s="5">
        <f t="shared" si="31"/>
        <v>5.5500000000000007</v>
      </c>
      <c r="AY70" s="5">
        <f t="shared" si="32"/>
        <v>1.1100000000000001</v>
      </c>
      <c r="AZ70" s="5">
        <f t="shared" si="33"/>
        <v>1.8801786622748684</v>
      </c>
      <c r="BB70" s="163"/>
      <c r="BC70" s="118"/>
      <c r="BD70" s="118"/>
      <c r="BE70" s="118"/>
      <c r="BF70" s="118"/>
      <c r="BG70" s="183"/>
      <c r="BH70" s="163"/>
      <c r="BI70" s="167"/>
      <c r="BJ70" s="167"/>
      <c r="BK70" s="167"/>
      <c r="BL70" s="167"/>
      <c r="BN70" s="5">
        <f t="shared" ref="BN70:BN101" si="87">IF(P70=1,AM70+AZ70,0)</f>
        <v>1.8801786622748684</v>
      </c>
      <c r="BO70" s="5">
        <f t="shared" ref="BO70:BO101" si="88">IF(Q70=1,AM70+AZ70,0)</f>
        <v>0</v>
      </c>
      <c r="BP70" s="5">
        <f t="shared" ref="BP70:BP101" si="89">IF(R70=1,AM70+AZ70,0)</f>
        <v>0</v>
      </c>
      <c r="BQ70" s="5">
        <f t="shared" ref="BQ70:BQ101" si="90">IF(S70=1,AM70+AZ70,0)</f>
        <v>0</v>
      </c>
      <c r="BR70" s="5">
        <f t="shared" ref="BR70:BR101" si="91">IF(T70=1,AM70+AZ70,0)</f>
        <v>0</v>
      </c>
      <c r="BS70" s="163">
        <f t="shared" ref="BS70:BS101" si="92">IF(P70=1,IF(AB70&lt;&gt;0,1,0),0)</f>
        <v>0</v>
      </c>
      <c r="BT70" s="163">
        <f t="shared" ref="BT70:BT101" si="93">IF(Q70=1,IF(AB70&lt;&gt;0,1,0),0)</f>
        <v>0</v>
      </c>
      <c r="BU70" s="163">
        <f t="shared" ref="BU70:BU101" si="94">IF(R70=1,IF(AB70&lt;&gt;0,1,0),0)</f>
        <v>0</v>
      </c>
      <c r="BV70" s="163">
        <f t="shared" ref="BV70:BV101" si="95">IF(S70=1,IF(AB70&lt;&gt;0,1,0),0)</f>
        <v>0</v>
      </c>
      <c r="BW70" s="163">
        <f t="shared" ref="BW70:BW101" si="96">IF(T70=1,IF(AB70&lt;&gt;0,1,0),0)</f>
        <v>0</v>
      </c>
      <c r="BX70" s="163">
        <f t="shared" ref="BX70:BX101" si="97">IF(P70=1,IF(AO70&lt;&gt;0,1,0),0)</f>
        <v>1</v>
      </c>
      <c r="BY70" s="163">
        <f t="shared" ref="BY70:BY101" si="98">IF(Q70=1,IF(AO70&lt;&gt;0,1,0),0)</f>
        <v>0</v>
      </c>
      <c r="BZ70" s="163">
        <f t="shared" ref="BZ70:BZ101" si="99">IF(R70=1,IF(AO70&lt;&gt;0,1,0),0)</f>
        <v>0</v>
      </c>
      <c r="CA70" s="163">
        <f t="shared" ref="CA70:CA101" si="100">IF(S70=1,IF(AO70&lt;&gt;0,1,0),0)</f>
        <v>0</v>
      </c>
      <c r="CB70" s="163">
        <f t="shared" ref="CB70:CB101" si="101">IF(T70=1,IF(AO70&lt;&gt;0,1,0),0)</f>
        <v>0</v>
      </c>
      <c r="CC70" s="163">
        <f t="shared" si="34"/>
        <v>1</v>
      </c>
      <c r="CD70" s="163">
        <f t="shared" si="35"/>
        <v>0</v>
      </c>
      <c r="CE70" s="163">
        <f t="shared" si="36"/>
        <v>0</v>
      </c>
      <c r="CF70" s="163">
        <f t="shared" si="37"/>
        <v>0</v>
      </c>
      <c r="CG70" s="163">
        <f t="shared" si="38"/>
        <v>0</v>
      </c>
      <c r="CI70" s="167">
        <v>1.9</v>
      </c>
      <c r="CJ70" s="167">
        <v>2</v>
      </c>
      <c r="CK70" s="5">
        <f t="shared" si="56"/>
        <v>4.29</v>
      </c>
      <c r="CL70" s="5">
        <f t="shared" si="39"/>
        <v>1.7</v>
      </c>
      <c r="CM70" s="5" t="str">
        <f t="shared" si="40"/>
        <v/>
      </c>
      <c r="CN70" s="5" t="str">
        <f t="shared" si="41"/>
        <v/>
      </c>
      <c r="CO70" s="5" t="str">
        <f t="shared" si="42"/>
        <v/>
      </c>
      <c r="CP70" s="5">
        <f t="shared" si="54"/>
        <v>1.2495000000000001</v>
      </c>
      <c r="CQ70" s="5" t="str">
        <f t="shared" si="43"/>
        <v/>
      </c>
      <c r="CR70" s="5" t="str">
        <f t="shared" si="44"/>
        <v/>
      </c>
      <c r="CS70" s="5" t="str">
        <f t="shared" si="45"/>
        <v/>
      </c>
      <c r="CT70" s="50">
        <f t="shared" si="46"/>
        <v>1</v>
      </c>
      <c r="CU70" s="50">
        <f t="shared" si="47"/>
        <v>0</v>
      </c>
      <c r="CV70" s="50">
        <f t="shared" si="48"/>
        <v>0</v>
      </c>
      <c r="CW70" s="50">
        <f t="shared" si="49"/>
        <v>0</v>
      </c>
      <c r="CX70" s="190">
        <f t="shared" si="55"/>
        <v>1</v>
      </c>
      <c r="CZ70" s="1">
        <v>1.95</v>
      </c>
      <c r="DA70" s="167">
        <f t="shared" si="50"/>
        <v>1.7</v>
      </c>
      <c r="DB70" s="1">
        <f>Alcantarillas!AX75</f>
        <v>11.2</v>
      </c>
      <c r="DC70" s="5">
        <f t="shared" si="51"/>
        <v>37.128</v>
      </c>
      <c r="DE70" s="172">
        <f t="shared" si="52"/>
        <v>0</v>
      </c>
      <c r="DF70" s="172">
        <f t="shared" si="53"/>
        <v>0</v>
      </c>
    </row>
    <row r="71" spans="2:110" x14ac:dyDescent="0.25">
      <c r="N71">
        <v>66</v>
      </c>
      <c r="O71" s="24">
        <f>Alcantarillas!E76</f>
        <v>19602</v>
      </c>
      <c r="P71" s="160">
        <f>IF(Alcantarillas!J76=1.2,1,0)</f>
        <v>1</v>
      </c>
      <c r="Q71" s="160">
        <f>IF(Alcantarillas!J76=1.3,1,0)</f>
        <v>0</v>
      </c>
      <c r="R71" s="160">
        <f>IF(Alcantarillas!J76=1.4,1,0)</f>
        <v>0</v>
      </c>
      <c r="S71" s="160">
        <f>IF(Alcantarillas!L76=1.2,1,0)</f>
        <v>0</v>
      </c>
      <c r="T71" s="160">
        <f>IF(Alcantarillas!L76=1.5,1,0)</f>
        <v>0</v>
      </c>
      <c r="V71" s="160">
        <f>IF(Alcantarillas!J76=1.2,Alcantarillas!AX76,0)</f>
        <v>12.15</v>
      </c>
      <c r="W71" s="160">
        <f>IF(Alcantarillas!J76=1.3,Alcantarillas!AX76,0)</f>
        <v>0</v>
      </c>
      <c r="X71" s="160">
        <f>IF(Alcantarillas!J76=1.4,Alcantarillas!AX76,0)</f>
        <v>0</v>
      </c>
      <c r="Y71" s="160">
        <f>IF(Alcantarillas!L76=1.2,Alcantarillas!AX76,0)</f>
        <v>0</v>
      </c>
      <c r="Z71" s="160">
        <f>IF(Alcantarillas!L76=1.5,Alcantarillas!AX76,0)</f>
        <v>0</v>
      </c>
      <c r="AB71" s="21"/>
      <c r="AC71" s="5">
        <f t="shared" ref="AC71:AC115" si="102">IF(P71=1,2.2,IF(Q71=1,2.3,IF(R71=1,2.4,IF(S71=1,2.2,IF(T71=1,2.5,)))))</f>
        <v>2.2000000000000002</v>
      </c>
      <c r="AD71" s="21"/>
      <c r="AE71" s="5">
        <f t="shared" ref="AE71:AE115" si="103">IF(P71=1,PI()*(1.2^2)/4,IF(Q71=1,PI()*(1.3^2)/4,IF(R71=1,PI()*(1.4^2)/4,IF(S71=1,1.2*1.2,IF(T71=1,1.5*1.5,)))))</f>
        <v>1.1309733552923256</v>
      </c>
      <c r="AF71" s="5">
        <f t="shared" ref="AF71:AF115" si="104">((AB71*AC71)-AE71)*AD71</f>
        <v>0</v>
      </c>
      <c r="AG71" s="21"/>
      <c r="AH71" s="5">
        <f t="shared" ref="AH71:AH115" si="105">(AG71*AB71)-((AG71*(AG71/1.5))/2)</f>
        <v>0</v>
      </c>
      <c r="AI71" s="5">
        <f t="shared" ref="AI71:AI115" si="106">AH71*AD71</f>
        <v>0</v>
      </c>
      <c r="AJ71" s="5">
        <f t="shared" ref="AJ71:AJ115" si="107">AC71+(2*1.5)</f>
        <v>5.2</v>
      </c>
      <c r="AK71" s="5">
        <f t="shared" ref="AK71:AK115" si="108">(AJ71+AC71)*1.5/2</f>
        <v>5.5500000000000007</v>
      </c>
      <c r="AL71" s="5">
        <f t="shared" ref="AL71:AL115" si="109">AK71*AD71</f>
        <v>0</v>
      </c>
      <c r="AM71" s="5">
        <f t="shared" ref="AM71:AM115" si="110">AF71+AI71+AL71</f>
        <v>0</v>
      </c>
      <c r="AO71" s="21">
        <v>1.5</v>
      </c>
      <c r="AP71" s="5">
        <f t="shared" ref="AP71:AP115" si="111">IF(P71=1,2.2,IF(Q71=1,2.3,IF(R71=1,2.4,IF(S71=1,2.2,IF(T71=1,2.5,)))))</f>
        <v>2.2000000000000002</v>
      </c>
      <c r="AQ71" s="21">
        <v>0.2</v>
      </c>
      <c r="AR71" s="5">
        <f t="shared" ref="AR71:AR115" si="112">IF(P71=1,PI()*(1.2^2)/4,IF(Q71=1,PI()*(1.3^2)/4,IF(R71=1,PI()*(1.4^2)/4,IF(S71=1,1.2*1.2,IF(T71=1,1.5*1.5,)))))</f>
        <v>1.1309733552923256</v>
      </c>
      <c r="AS71" s="5">
        <f t="shared" ref="AS71:AS115" si="113">((AO71*AP71)-AR71)*AQ71</f>
        <v>0.4338053289415349</v>
      </c>
      <c r="AT71" s="21">
        <v>2.12</v>
      </c>
      <c r="AU71" s="5">
        <f t="shared" ref="AU71:AU115" si="114">(AT71*AO71)-((AT71*(AT71/1.5))/2)</f>
        <v>1.6818666666666668</v>
      </c>
      <c r="AV71" s="5">
        <f t="shared" ref="AV71:AV115" si="115">AU71*AQ71</f>
        <v>0.33637333333333341</v>
      </c>
      <c r="AW71" s="5">
        <f t="shared" ref="AW71:AW115" si="116">AP71+(2*1.5)</f>
        <v>5.2</v>
      </c>
      <c r="AX71" s="5">
        <f t="shared" ref="AX71:AX115" si="117">(AW71+AP71)*1.5/2</f>
        <v>5.5500000000000007</v>
      </c>
      <c r="AY71" s="5">
        <f t="shared" ref="AY71:AY115" si="118">AX71*AQ71</f>
        <v>1.1100000000000001</v>
      </c>
      <c r="AZ71" s="5">
        <f t="shared" ref="AZ71:AZ115" si="119">AS71+AV71+AY71</f>
        <v>1.8801786622748684</v>
      </c>
      <c r="BB71" s="163"/>
      <c r="BC71" s="118"/>
      <c r="BD71" s="118"/>
      <c r="BE71" s="118"/>
      <c r="BF71" s="118"/>
      <c r="BG71" s="183"/>
      <c r="BH71" s="163"/>
      <c r="BI71" s="167"/>
      <c r="BJ71" s="167"/>
      <c r="BK71" s="167"/>
      <c r="BL71" s="167"/>
      <c r="BN71" s="5">
        <f t="shared" si="87"/>
        <v>1.8801786622748684</v>
      </c>
      <c r="BO71" s="5">
        <f t="shared" si="88"/>
        <v>0</v>
      </c>
      <c r="BP71" s="5">
        <f t="shared" si="89"/>
        <v>0</v>
      </c>
      <c r="BQ71" s="5">
        <f t="shared" si="90"/>
        <v>0</v>
      </c>
      <c r="BR71" s="5">
        <f t="shared" si="91"/>
        <v>0</v>
      </c>
      <c r="BS71" s="163">
        <f t="shared" si="92"/>
        <v>0</v>
      </c>
      <c r="BT71" s="163">
        <f t="shared" si="93"/>
        <v>0</v>
      </c>
      <c r="BU71" s="163">
        <f t="shared" si="94"/>
        <v>0</v>
      </c>
      <c r="BV71" s="163">
        <f t="shared" si="95"/>
        <v>0</v>
      </c>
      <c r="BW71" s="163">
        <f t="shared" si="96"/>
        <v>0</v>
      </c>
      <c r="BX71" s="163">
        <f t="shared" si="97"/>
        <v>1</v>
      </c>
      <c r="BY71" s="163">
        <f t="shared" si="98"/>
        <v>0</v>
      </c>
      <c r="BZ71" s="163">
        <f t="shared" si="99"/>
        <v>0</v>
      </c>
      <c r="CA71" s="163">
        <f t="shared" si="100"/>
        <v>0</v>
      </c>
      <c r="CB71" s="163">
        <f t="shared" si="101"/>
        <v>0</v>
      </c>
      <c r="CC71" s="163">
        <f t="shared" ref="CC71:CC115" si="120">BS71+BX71</f>
        <v>1</v>
      </c>
      <c r="CD71" s="163">
        <f t="shared" ref="CD71:CD115" si="121">BT71+BY71</f>
        <v>0</v>
      </c>
      <c r="CE71" s="163">
        <f t="shared" ref="CE71:CE115" si="122">BU71+BZ71</f>
        <v>0</v>
      </c>
      <c r="CF71" s="163">
        <f t="shared" ref="CF71:CF115" si="123">BV71+CA71</f>
        <v>0</v>
      </c>
      <c r="CG71" s="163">
        <f t="shared" ref="CG71:CG115" si="124">BW71+CB71</f>
        <v>0</v>
      </c>
      <c r="CI71" s="167">
        <v>1.95</v>
      </c>
      <c r="CJ71" s="167">
        <v>4.5</v>
      </c>
      <c r="CK71" s="5">
        <f t="shared" si="56"/>
        <v>7.0950000000000006</v>
      </c>
      <c r="CL71" s="5">
        <f t="shared" ref="CL71:CL114" si="125">IF(P71=1,1.7,"")</f>
        <v>1.7</v>
      </c>
      <c r="CM71" s="5" t="str">
        <f t="shared" ref="CM71:CM115" si="126">IF(R71=1,1.9,"")</f>
        <v/>
      </c>
      <c r="CN71" s="5" t="str">
        <f t="shared" ref="CN71:CN115" si="127">IF(S71=1,1.7,"")</f>
        <v/>
      </c>
      <c r="CO71" s="5" t="str">
        <f t="shared" ref="CO71:CO115" si="128">IF(T71=1,2,"")</f>
        <v/>
      </c>
      <c r="CP71" s="5">
        <f t="shared" si="54"/>
        <v>1.8997499999999998</v>
      </c>
      <c r="CQ71" s="5" t="str">
        <f t="shared" ref="CQ71:CQ115" si="129">IF(CM71="","",((CI71*CM71)+(CJ71*CM71)+($CQ$2*CM71))*$CQ$1)</f>
        <v/>
      </c>
      <c r="CR71" s="5" t="str">
        <f t="shared" ref="CR71:CR115" si="130">IF(CN71="","",((CI71*CN71)+(CJ71*CN71)+($CQ$2*CN71))*$CQ$1)</f>
        <v/>
      </c>
      <c r="CS71" s="5" t="str">
        <f t="shared" ref="CS71:CS115" si="131">IF(CO71="","",((CI71*CO71)+(CJ71*CO71)+($CQ$2*CO71))*$CQ$1)</f>
        <v/>
      </c>
      <c r="CT71" s="50">
        <f t="shared" ref="CT71:CT115" si="132">IF(CP71="",0,1)</f>
        <v>1</v>
      </c>
      <c r="CU71" s="50">
        <f t="shared" ref="CU71:CU115" si="133">IF(CQ71="",0,1)</f>
        <v>0</v>
      </c>
      <c r="CV71" s="50">
        <f t="shared" ref="CV71:CV115" si="134">IF(CR71="",0,1)</f>
        <v>0</v>
      </c>
      <c r="CW71" s="50">
        <f t="shared" ref="CW71:CW115" si="135">IF(CS71="",0,1)</f>
        <v>0</v>
      </c>
      <c r="CX71" s="190">
        <f t="shared" si="55"/>
        <v>1</v>
      </c>
      <c r="CZ71" s="1">
        <v>1.95</v>
      </c>
      <c r="DA71" s="167">
        <f t="shared" ref="DA71:DA115" si="136">IF(P71=1,1.7,IF(Q71=1,1.8,IF(R71=1,1.9,IF(S71=1,1.7,IF(T71=1,1.8,)))))</f>
        <v>1.7</v>
      </c>
      <c r="DB71" s="1">
        <f>Alcantarillas!AX76</f>
        <v>12.15</v>
      </c>
      <c r="DC71" s="5">
        <f t="shared" ref="DC71:DC115" si="137">CZ71*DA71*DB71</f>
        <v>40.277250000000002</v>
      </c>
      <c r="DE71" s="172">
        <f t="shared" ref="DE71:DE115" si="138">BB71*((2*1.5*1)+(5*(AW71+(2*$BC$1))))</f>
        <v>0</v>
      </c>
      <c r="DF71" s="172">
        <f t="shared" ref="DF71:DF115" si="139">BH71*((2*1.5*0.2)+(3.4*(AW71+(2*$BI$1))))</f>
        <v>0</v>
      </c>
    </row>
    <row r="72" spans="2:110" x14ac:dyDescent="0.25">
      <c r="N72">
        <v>67</v>
      </c>
      <c r="O72" s="24">
        <f>Alcantarillas!E77</f>
        <v>19771.3</v>
      </c>
      <c r="P72" s="160">
        <f>IF(Alcantarillas!J77=1.2,1,0)</f>
        <v>1</v>
      </c>
      <c r="Q72" s="160">
        <f>IF(Alcantarillas!J77=1.3,1,0)</f>
        <v>0</v>
      </c>
      <c r="R72" s="160">
        <f>IF(Alcantarillas!J77=1.4,1,0)</f>
        <v>0</v>
      </c>
      <c r="S72" s="160">
        <f>IF(Alcantarillas!L77=1.2,1,0)</f>
        <v>0</v>
      </c>
      <c r="T72" s="160">
        <f>IF(Alcantarillas!L77=1.5,1,0)</f>
        <v>0</v>
      </c>
      <c r="V72" s="160">
        <f>IF(Alcantarillas!J77=1.2,Alcantarillas!AX77,0)</f>
        <v>11.25</v>
      </c>
      <c r="W72" s="160">
        <f>IF(Alcantarillas!J77=1.3,Alcantarillas!AX77,0)</f>
        <v>0</v>
      </c>
      <c r="X72" s="160">
        <f>IF(Alcantarillas!J77=1.4,Alcantarillas!AX77,0)</f>
        <v>0</v>
      </c>
      <c r="Y72" s="160">
        <f>IF(Alcantarillas!L77=1.2,Alcantarillas!AX77,0)</f>
        <v>0</v>
      </c>
      <c r="Z72" s="160">
        <f>IF(Alcantarillas!L77=1.5,Alcantarillas!AX77,0)</f>
        <v>0</v>
      </c>
      <c r="AB72" s="21"/>
      <c r="AC72" s="5">
        <f t="shared" si="102"/>
        <v>2.2000000000000002</v>
      </c>
      <c r="AD72" s="21"/>
      <c r="AE72" s="5">
        <f t="shared" si="103"/>
        <v>1.1309733552923256</v>
      </c>
      <c r="AF72" s="5">
        <f t="shared" si="104"/>
        <v>0</v>
      </c>
      <c r="AG72" s="21"/>
      <c r="AH72" s="5">
        <f t="shared" si="105"/>
        <v>0</v>
      </c>
      <c r="AI72" s="5">
        <f t="shared" si="106"/>
        <v>0</v>
      </c>
      <c r="AJ72" s="5">
        <f t="shared" si="107"/>
        <v>5.2</v>
      </c>
      <c r="AK72" s="5">
        <f t="shared" si="108"/>
        <v>5.5500000000000007</v>
      </c>
      <c r="AL72" s="5">
        <f t="shared" si="109"/>
        <v>0</v>
      </c>
      <c r="AM72" s="5">
        <f t="shared" si="110"/>
        <v>0</v>
      </c>
      <c r="AO72" s="21">
        <v>1.85</v>
      </c>
      <c r="AP72" s="5">
        <f t="shared" si="111"/>
        <v>2.2000000000000002</v>
      </c>
      <c r="AQ72" s="21">
        <v>0.2</v>
      </c>
      <c r="AR72" s="5">
        <f t="shared" si="112"/>
        <v>1.1309733552923256</v>
      </c>
      <c r="AS72" s="5">
        <f t="shared" si="113"/>
        <v>0.58780532894153503</v>
      </c>
      <c r="AT72" s="21">
        <v>2.12</v>
      </c>
      <c r="AU72" s="5">
        <f t="shared" si="114"/>
        <v>2.4238666666666671</v>
      </c>
      <c r="AV72" s="5">
        <f t="shared" si="115"/>
        <v>0.48477333333333344</v>
      </c>
      <c r="AW72" s="5">
        <f t="shared" si="116"/>
        <v>5.2</v>
      </c>
      <c r="AX72" s="5">
        <f t="shared" si="117"/>
        <v>5.5500000000000007</v>
      </c>
      <c r="AY72" s="5">
        <f t="shared" si="118"/>
        <v>1.1100000000000001</v>
      </c>
      <c r="AZ72" s="5">
        <f t="shared" si="119"/>
        <v>2.1825786622748686</v>
      </c>
      <c r="BB72" s="163"/>
      <c r="BC72" s="118"/>
      <c r="BD72" s="118"/>
      <c r="BE72" s="118"/>
      <c r="BF72" s="118"/>
      <c r="BG72" s="183"/>
      <c r="BH72" s="163"/>
      <c r="BI72" s="167"/>
      <c r="BJ72" s="167"/>
      <c r="BK72" s="167"/>
      <c r="BL72" s="167"/>
      <c r="BN72" s="5">
        <f t="shared" si="87"/>
        <v>2.1825786622748686</v>
      </c>
      <c r="BO72" s="5">
        <f t="shared" si="88"/>
        <v>0</v>
      </c>
      <c r="BP72" s="5">
        <f t="shared" si="89"/>
        <v>0</v>
      </c>
      <c r="BQ72" s="5">
        <f t="shared" si="90"/>
        <v>0</v>
      </c>
      <c r="BR72" s="5">
        <f t="shared" si="91"/>
        <v>0</v>
      </c>
      <c r="BS72" s="163">
        <f t="shared" si="92"/>
        <v>0</v>
      </c>
      <c r="BT72" s="163">
        <f t="shared" si="93"/>
        <v>0</v>
      </c>
      <c r="BU72" s="163">
        <f t="shared" si="94"/>
        <v>0</v>
      </c>
      <c r="BV72" s="163">
        <f t="shared" si="95"/>
        <v>0</v>
      </c>
      <c r="BW72" s="163">
        <f t="shared" si="96"/>
        <v>0</v>
      </c>
      <c r="BX72" s="163">
        <f t="shared" si="97"/>
        <v>1</v>
      </c>
      <c r="BY72" s="163">
        <f t="shared" si="98"/>
        <v>0</v>
      </c>
      <c r="BZ72" s="163">
        <f t="shared" si="99"/>
        <v>0</v>
      </c>
      <c r="CA72" s="163">
        <f t="shared" si="100"/>
        <v>0</v>
      </c>
      <c r="CB72" s="163">
        <f t="shared" si="101"/>
        <v>0</v>
      </c>
      <c r="CC72" s="163">
        <f t="shared" si="120"/>
        <v>1</v>
      </c>
      <c r="CD72" s="163">
        <f t="shared" si="121"/>
        <v>0</v>
      </c>
      <c r="CE72" s="163">
        <f t="shared" si="122"/>
        <v>0</v>
      </c>
      <c r="CF72" s="163">
        <f t="shared" si="123"/>
        <v>0</v>
      </c>
      <c r="CG72" s="163">
        <f t="shared" si="124"/>
        <v>0</v>
      </c>
      <c r="CI72" s="167">
        <v>1.95</v>
      </c>
      <c r="CJ72" s="167">
        <v>4</v>
      </c>
      <c r="CK72" s="5">
        <f t="shared" ref="CK72:CK114" si="140">((CI72+CJ72)*$CJ$1/2)*AC72</f>
        <v>6.5450000000000008</v>
      </c>
      <c r="CL72" s="5">
        <f t="shared" si="125"/>
        <v>1.7</v>
      </c>
      <c r="CM72" s="5" t="str">
        <f t="shared" si="126"/>
        <v/>
      </c>
      <c r="CN72" s="5" t="str">
        <f t="shared" si="127"/>
        <v/>
      </c>
      <c r="CO72" s="5" t="str">
        <f t="shared" si="128"/>
        <v/>
      </c>
      <c r="CP72" s="5">
        <f t="shared" ref="CP72:CP115" si="141">IF(CL72="","",((CI72*CL72)+(CJ72*CL72)+($CQ$2*CL72))*$CQ$1)</f>
        <v>1.7722499999999999</v>
      </c>
      <c r="CQ72" s="5" t="str">
        <f t="shared" si="129"/>
        <v/>
      </c>
      <c r="CR72" s="5" t="str">
        <f t="shared" si="130"/>
        <v/>
      </c>
      <c r="CS72" s="5" t="str">
        <f t="shared" si="131"/>
        <v/>
      </c>
      <c r="CT72" s="50">
        <f t="shared" si="132"/>
        <v>1</v>
      </c>
      <c r="CU72" s="50">
        <f t="shared" si="133"/>
        <v>0</v>
      </c>
      <c r="CV72" s="50">
        <f t="shared" si="134"/>
        <v>0</v>
      </c>
      <c r="CW72" s="50">
        <f t="shared" si="135"/>
        <v>0</v>
      </c>
      <c r="CX72" s="190">
        <f t="shared" ref="CX72:CX115" si="142">IF(CI72="",0,1)</f>
        <v>1</v>
      </c>
      <c r="CZ72" s="1">
        <v>2</v>
      </c>
      <c r="DA72" s="167">
        <f t="shared" si="136"/>
        <v>1.7</v>
      </c>
      <c r="DB72" s="1">
        <f>Alcantarillas!AX77</f>
        <v>11.25</v>
      </c>
      <c r="DC72" s="5">
        <f t="shared" si="137"/>
        <v>38.25</v>
      </c>
      <c r="DE72" s="172">
        <f t="shared" si="138"/>
        <v>0</v>
      </c>
      <c r="DF72" s="172">
        <f t="shared" si="139"/>
        <v>0</v>
      </c>
    </row>
    <row r="73" spans="2:110" x14ac:dyDescent="0.25">
      <c r="N73">
        <v>68</v>
      </c>
      <c r="O73" s="24">
        <f>Alcantarillas!E78</f>
        <v>20154.400000000001</v>
      </c>
      <c r="P73" s="160">
        <f>IF(Alcantarillas!J78=1.2,1,0)</f>
        <v>1</v>
      </c>
      <c r="Q73" s="160">
        <f>IF(Alcantarillas!J78=1.3,1,0)</f>
        <v>0</v>
      </c>
      <c r="R73" s="160">
        <f>IF(Alcantarillas!J78=1.4,1,0)</f>
        <v>0</v>
      </c>
      <c r="S73" s="160">
        <f>IF(Alcantarillas!L78=1.2,1,0)</f>
        <v>0</v>
      </c>
      <c r="T73" s="160">
        <f>IF(Alcantarillas!L78=1.5,1,0)</f>
        <v>0</v>
      </c>
      <c r="V73" s="160">
        <f>IF(Alcantarillas!J78=1.2,Alcantarillas!AX78,0)</f>
        <v>9.5500000000000007</v>
      </c>
      <c r="W73" s="160">
        <f>IF(Alcantarillas!J78=1.3,Alcantarillas!AX78,0)</f>
        <v>0</v>
      </c>
      <c r="X73" s="160">
        <f>IF(Alcantarillas!J78=1.4,Alcantarillas!AX78,0)</f>
        <v>0</v>
      </c>
      <c r="Y73" s="160">
        <f>IF(Alcantarillas!L78=1.2,Alcantarillas!AX78,0)</f>
        <v>0</v>
      </c>
      <c r="Z73" s="160">
        <f>IF(Alcantarillas!L78=1.5,Alcantarillas!AX78,0)</f>
        <v>0</v>
      </c>
      <c r="AB73" s="21"/>
      <c r="AC73" s="5">
        <f t="shared" si="102"/>
        <v>2.2000000000000002</v>
      </c>
      <c r="AD73" s="21"/>
      <c r="AE73" s="5">
        <f t="shared" si="103"/>
        <v>1.1309733552923256</v>
      </c>
      <c r="AF73" s="5">
        <f t="shared" si="104"/>
        <v>0</v>
      </c>
      <c r="AG73" s="21"/>
      <c r="AH73" s="5">
        <f t="shared" si="105"/>
        <v>0</v>
      </c>
      <c r="AI73" s="5">
        <f t="shared" si="106"/>
        <v>0</v>
      </c>
      <c r="AJ73" s="5">
        <f t="shared" si="107"/>
        <v>5.2</v>
      </c>
      <c r="AK73" s="5">
        <f t="shared" si="108"/>
        <v>5.5500000000000007</v>
      </c>
      <c r="AL73" s="5">
        <f t="shared" si="109"/>
        <v>0</v>
      </c>
      <c r="AM73" s="5">
        <f t="shared" si="110"/>
        <v>0</v>
      </c>
      <c r="AO73" s="21">
        <v>1.9</v>
      </c>
      <c r="AP73" s="5">
        <f t="shared" si="111"/>
        <v>2.2000000000000002</v>
      </c>
      <c r="AQ73" s="21">
        <v>0.2</v>
      </c>
      <c r="AR73" s="5">
        <f t="shared" si="112"/>
        <v>1.1309733552923256</v>
      </c>
      <c r="AS73" s="5">
        <f t="shared" si="113"/>
        <v>0.60980532894153494</v>
      </c>
      <c r="AT73" s="21">
        <v>2.12</v>
      </c>
      <c r="AU73" s="5">
        <f t="shared" si="114"/>
        <v>2.529866666666666</v>
      </c>
      <c r="AV73" s="5">
        <f t="shared" si="115"/>
        <v>0.50597333333333327</v>
      </c>
      <c r="AW73" s="5">
        <f t="shared" si="116"/>
        <v>5.2</v>
      </c>
      <c r="AX73" s="5">
        <f t="shared" si="117"/>
        <v>5.5500000000000007</v>
      </c>
      <c r="AY73" s="5">
        <f t="shared" si="118"/>
        <v>1.1100000000000001</v>
      </c>
      <c r="AZ73" s="5">
        <f t="shared" si="119"/>
        <v>2.2257786622748683</v>
      </c>
      <c r="BB73" s="163">
        <v>34</v>
      </c>
      <c r="BC73" s="118">
        <f t="shared" si="58"/>
        <v>51</v>
      </c>
      <c r="BD73" s="118">
        <f t="shared" ref="BD73:BD110" si="143">BC73*(AW73+(2*$BC$1))</f>
        <v>367.2</v>
      </c>
      <c r="BE73" s="118">
        <v>29</v>
      </c>
      <c r="BF73" s="118">
        <f t="shared" si="59"/>
        <v>208.8</v>
      </c>
      <c r="BG73" s="183"/>
      <c r="BH73" s="163"/>
      <c r="BI73" s="167"/>
      <c r="BJ73" s="167"/>
      <c r="BK73" s="167"/>
      <c r="BL73" s="167"/>
      <c r="BN73" s="5">
        <f t="shared" si="87"/>
        <v>2.2257786622748683</v>
      </c>
      <c r="BO73" s="5">
        <f t="shared" si="88"/>
        <v>0</v>
      </c>
      <c r="BP73" s="5">
        <f t="shared" si="89"/>
        <v>0</v>
      </c>
      <c r="BQ73" s="5">
        <f t="shared" si="90"/>
        <v>0</v>
      </c>
      <c r="BR73" s="5">
        <f t="shared" si="91"/>
        <v>0</v>
      </c>
      <c r="BS73" s="163">
        <f t="shared" si="92"/>
        <v>0</v>
      </c>
      <c r="BT73" s="163">
        <f t="shared" si="93"/>
        <v>0</v>
      </c>
      <c r="BU73" s="163">
        <f t="shared" si="94"/>
        <v>0</v>
      </c>
      <c r="BV73" s="163">
        <f t="shared" si="95"/>
        <v>0</v>
      </c>
      <c r="BW73" s="163">
        <f t="shared" si="96"/>
        <v>0</v>
      </c>
      <c r="BX73" s="163">
        <f t="shared" si="97"/>
        <v>1</v>
      </c>
      <c r="BY73" s="163">
        <f t="shared" si="98"/>
        <v>0</v>
      </c>
      <c r="BZ73" s="163">
        <f t="shared" si="99"/>
        <v>0</v>
      </c>
      <c r="CA73" s="163">
        <f t="shared" si="100"/>
        <v>0</v>
      </c>
      <c r="CB73" s="163">
        <f t="shared" si="101"/>
        <v>0</v>
      </c>
      <c r="CC73" s="163">
        <f t="shared" si="120"/>
        <v>1</v>
      </c>
      <c r="CD73" s="163">
        <f t="shared" si="121"/>
        <v>0</v>
      </c>
      <c r="CE73" s="163">
        <f t="shared" si="122"/>
        <v>0</v>
      </c>
      <c r="CF73" s="163">
        <f t="shared" si="123"/>
        <v>0</v>
      </c>
      <c r="CG73" s="163">
        <f t="shared" si="124"/>
        <v>0</v>
      </c>
      <c r="CI73" s="167">
        <v>1.95</v>
      </c>
      <c r="CJ73" s="167">
        <v>1.5</v>
      </c>
      <c r="CK73" s="5">
        <f t="shared" si="140"/>
        <v>3.7950000000000004</v>
      </c>
      <c r="CL73" s="5">
        <f t="shared" si="125"/>
        <v>1.7</v>
      </c>
      <c r="CM73" s="5" t="str">
        <f t="shared" si="126"/>
        <v/>
      </c>
      <c r="CN73" s="5" t="str">
        <f t="shared" si="127"/>
        <v/>
      </c>
      <c r="CO73" s="5" t="str">
        <f t="shared" si="128"/>
        <v/>
      </c>
      <c r="CP73" s="5">
        <f t="shared" si="141"/>
        <v>1.1347499999999999</v>
      </c>
      <c r="CQ73" s="5" t="str">
        <f t="shared" si="129"/>
        <v/>
      </c>
      <c r="CR73" s="5" t="str">
        <f t="shared" si="130"/>
        <v/>
      </c>
      <c r="CS73" s="5" t="str">
        <f t="shared" si="131"/>
        <v/>
      </c>
      <c r="CT73" s="50">
        <f t="shared" si="132"/>
        <v>1</v>
      </c>
      <c r="CU73" s="50">
        <f t="shared" si="133"/>
        <v>0</v>
      </c>
      <c r="CV73" s="50">
        <f t="shared" si="134"/>
        <v>0</v>
      </c>
      <c r="CW73" s="50">
        <f t="shared" si="135"/>
        <v>0</v>
      </c>
      <c r="CX73" s="190">
        <f t="shared" si="142"/>
        <v>1</v>
      </c>
      <c r="CZ73" s="1">
        <v>2.1</v>
      </c>
      <c r="DA73" s="167">
        <f t="shared" si="136"/>
        <v>1.7</v>
      </c>
      <c r="DB73" s="1">
        <f>Alcantarillas!AX78</f>
        <v>9.5500000000000007</v>
      </c>
      <c r="DC73" s="5">
        <f t="shared" si="137"/>
        <v>34.093499999999999</v>
      </c>
      <c r="DE73" s="172">
        <f t="shared" si="138"/>
        <v>1326</v>
      </c>
      <c r="DF73" s="172">
        <f t="shared" si="139"/>
        <v>0</v>
      </c>
    </row>
    <row r="74" spans="2:110" x14ac:dyDescent="0.25">
      <c r="N74">
        <v>69</v>
      </c>
      <c r="O74" s="24">
        <f>Alcantarillas!E79</f>
        <v>20276.099999999999</v>
      </c>
      <c r="P74" s="160">
        <f>IF(Alcantarillas!J79=1.2,1,0)</f>
        <v>1</v>
      </c>
      <c r="Q74" s="160">
        <f>IF(Alcantarillas!J79=1.3,1,0)</f>
        <v>0</v>
      </c>
      <c r="R74" s="160">
        <f>IF(Alcantarillas!J79=1.4,1,0)</f>
        <v>0</v>
      </c>
      <c r="S74" s="160">
        <f>IF(Alcantarillas!L79=1.2,1,0)</f>
        <v>0</v>
      </c>
      <c r="T74" s="160">
        <f>IF(Alcantarillas!L79=1.5,1,0)</f>
        <v>0</v>
      </c>
      <c r="V74" s="160">
        <f>IF(Alcantarillas!J79=1.2,Alcantarillas!AX79,0)</f>
        <v>11.75</v>
      </c>
      <c r="W74" s="160">
        <f>IF(Alcantarillas!J79=1.3,Alcantarillas!AX79,0)</f>
        <v>0</v>
      </c>
      <c r="X74" s="160">
        <f>IF(Alcantarillas!J79=1.4,Alcantarillas!AX79,0)</f>
        <v>0</v>
      </c>
      <c r="Y74" s="160">
        <f>IF(Alcantarillas!L79=1.2,Alcantarillas!AX79,0)</f>
        <v>0</v>
      </c>
      <c r="Z74" s="160">
        <f>IF(Alcantarillas!L79=1.5,Alcantarillas!AX79,0)</f>
        <v>0</v>
      </c>
      <c r="AB74" s="21"/>
      <c r="AC74" s="5">
        <f t="shared" si="102"/>
        <v>2.2000000000000002</v>
      </c>
      <c r="AD74" s="21"/>
      <c r="AE74" s="5">
        <f t="shared" si="103"/>
        <v>1.1309733552923256</v>
      </c>
      <c r="AF74" s="5">
        <f t="shared" si="104"/>
        <v>0</v>
      </c>
      <c r="AG74" s="21"/>
      <c r="AH74" s="5">
        <f t="shared" si="105"/>
        <v>0</v>
      </c>
      <c r="AI74" s="5">
        <f t="shared" si="106"/>
        <v>0</v>
      </c>
      <c r="AJ74" s="5">
        <f t="shared" si="107"/>
        <v>5.2</v>
      </c>
      <c r="AK74" s="5">
        <f t="shared" si="108"/>
        <v>5.5500000000000007</v>
      </c>
      <c r="AL74" s="5">
        <f t="shared" si="109"/>
        <v>0</v>
      </c>
      <c r="AM74" s="5">
        <f t="shared" si="110"/>
        <v>0</v>
      </c>
      <c r="AO74" s="21">
        <v>1.9</v>
      </c>
      <c r="AP74" s="5">
        <f t="shared" si="111"/>
        <v>2.2000000000000002</v>
      </c>
      <c r="AQ74" s="21">
        <v>0.2</v>
      </c>
      <c r="AR74" s="5">
        <f t="shared" si="112"/>
        <v>1.1309733552923256</v>
      </c>
      <c r="AS74" s="5">
        <f t="shared" si="113"/>
        <v>0.60980532894153494</v>
      </c>
      <c r="AT74" s="21">
        <v>2.12</v>
      </c>
      <c r="AU74" s="5">
        <f t="shared" si="114"/>
        <v>2.529866666666666</v>
      </c>
      <c r="AV74" s="5">
        <f t="shared" si="115"/>
        <v>0.50597333333333327</v>
      </c>
      <c r="AW74" s="5">
        <f t="shared" si="116"/>
        <v>5.2</v>
      </c>
      <c r="AX74" s="5">
        <f t="shared" si="117"/>
        <v>5.5500000000000007</v>
      </c>
      <c r="AY74" s="5">
        <f t="shared" si="118"/>
        <v>1.1100000000000001</v>
      </c>
      <c r="AZ74" s="5">
        <f t="shared" si="119"/>
        <v>2.2257786622748683</v>
      </c>
      <c r="BB74" s="163">
        <v>6</v>
      </c>
      <c r="BC74" s="118">
        <f t="shared" si="58"/>
        <v>9</v>
      </c>
      <c r="BD74" s="118">
        <f t="shared" si="143"/>
        <v>64.8</v>
      </c>
      <c r="BE74" s="118">
        <v>10</v>
      </c>
      <c r="BF74" s="118">
        <f t="shared" si="59"/>
        <v>72</v>
      </c>
      <c r="BG74" s="183"/>
      <c r="BH74" s="163"/>
      <c r="BI74" s="167"/>
      <c r="BJ74" s="167"/>
      <c r="BK74" s="167"/>
      <c r="BL74" s="167"/>
      <c r="BN74" s="5">
        <f t="shared" si="87"/>
        <v>2.2257786622748683</v>
      </c>
      <c r="BO74" s="5">
        <f t="shared" si="88"/>
        <v>0</v>
      </c>
      <c r="BP74" s="5">
        <f t="shared" si="89"/>
        <v>0</v>
      </c>
      <c r="BQ74" s="5">
        <f t="shared" si="90"/>
        <v>0</v>
      </c>
      <c r="BR74" s="5">
        <f t="shared" si="91"/>
        <v>0</v>
      </c>
      <c r="BS74" s="163">
        <f t="shared" si="92"/>
        <v>0</v>
      </c>
      <c r="BT74" s="163">
        <f t="shared" si="93"/>
        <v>0</v>
      </c>
      <c r="BU74" s="163">
        <f t="shared" si="94"/>
        <v>0</v>
      </c>
      <c r="BV74" s="163">
        <f t="shared" si="95"/>
        <v>0</v>
      </c>
      <c r="BW74" s="163">
        <f t="shared" si="96"/>
        <v>0</v>
      </c>
      <c r="BX74" s="163">
        <f t="shared" si="97"/>
        <v>1</v>
      </c>
      <c r="BY74" s="163">
        <f t="shared" si="98"/>
        <v>0</v>
      </c>
      <c r="BZ74" s="163">
        <f t="shared" si="99"/>
        <v>0</v>
      </c>
      <c r="CA74" s="163">
        <f t="shared" si="100"/>
        <v>0</v>
      </c>
      <c r="CB74" s="163">
        <f t="shared" si="101"/>
        <v>0</v>
      </c>
      <c r="CC74" s="163">
        <f t="shared" si="120"/>
        <v>1</v>
      </c>
      <c r="CD74" s="163">
        <f t="shared" si="121"/>
        <v>0</v>
      </c>
      <c r="CE74" s="163">
        <f t="shared" si="122"/>
        <v>0</v>
      </c>
      <c r="CF74" s="163">
        <f t="shared" si="123"/>
        <v>0</v>
      </c>
      <c r="CG74" s="163">
        <f t="shared" si="124"/>
        <v>0</v>
      </c>
      <c r="CI74" s="167">
        <v>1.9</v>
      </c>
      <c r="CJ74" s="167">
        <v>4.4000000000000004</v>
      </c>
      <c r="CK74" s="5">
        <f t="shared" si="140"/>
        <v>6.9300000000000015</v>
      </c>
      <c r="CL74" s="5">
        <f t="shared" si="125"/>
        <v>1.7</v>
      </c>
      <c r="CM74" s="5" t="str">
        <f t="shared" si="126"/>
        <v/>
      </c>
      <c r="CN74" s="5" t="str">
        <f t="shared" si="127"/>
        <v/>
      </c>
      <c r="CO74" s="5" t="str">
        <f t="shared" si="128"/>
        <v/>
      </c>
      <c r="CP74" s="5">
        <f t="shared" si="141"/>
        <v>1.8614999999999999</v>
      </c>
      <c r="CQ74" s="5" t="str">
        <f t="shared" si="129"/>
        <v/>
      </c>
      <c r="CR74" s="5" t="str">
        <f t="shared" si="130"/>
        <v/>
      </c>
      <c r="CS74" s="5" t="str">
        <f t="shared" si="131"/>
        <v/>
      </c>
      <c r="CT74" s="50">
        <f t="shared" si="132"/>
        <v>1</v>
      </c>
      <c r="CU74" s="50">
        <f t="shared" si="133"/>
        <v>0</v>
      </c>
      <c r="CV74" s="50">
        <f t="shared" si="134"/>
        <v>0</v>
      </c>
      <c r="CW74" s="50">
        <f t="shared" si="135"/>
        <v>0</v>
      </c>
      <c r="CX74" s="190">
        <f t="shared" si="142"/>
        <v>1</v>
      </c>
      <c r="CZ74" s="1">
        <v>2.1</v>
      </c>
      <c r="DA74" s="167">
        <f t="shared" si="136"/>
        <v>1.7</v>
      </c>
      <c r="DB74" s="1">
        <f>Alcantarillas!AX79</f>
        <v>11.75</v>
      </c>
      <c r="DC74" s="5">
        <f t="shared" si="137"/>
        <v>41.947499999999998</v>
      </c>
      <c r="DE74" s="172">
        <f t="shared" si="138"/>
        <v>234</v>
      </c>
      <c r="DF74" s="172">
        <f t="shared" si="139"/>
        <v>0</v>
      </c>
    </row>
    <row r="75" spans="2:110" x14ac:dyDescent="0.25">
      <c r="N75">
        <v>70</v>
      </c>
      <c r="O75" s="24">
        <f>Alcantarillas!E80</f>
        <v>20316.7</v>
      </c>
      <c r="P75" s="160">
        <f>IF(Alcantarillas!J80=1.2,1,0)</f>
        <v>1</v>
      </c>
      <c r="Q75" s="160">
        <f>IF(Alcantarillas!J80=1.3,1,0)</f>
        <v>0</v>
      </c>
      <c r="R75" s="160">
        <f>IF(Alcantarillas!J80=1.4,1,0)</f>
        <v>0</v>
      </c>
      <c r="S75" s="160">
        <f>IF(Alcantarillas!L80=1.2,1,0)</f>
        <v>0</v>
      </c>
      <c r="T75" s="160">
        <f>IF(Alcantarillas!L80=1.5,1,0)</f>
        <v>0</v>
      </c>
      <c r="V75" s="160">
        <f>IF(Alcantarillas!J80=1.2,Alcantarillas!AX80,0)</f>
        <v>12.95</v>
      </c>
      <c r="W75" s="160">
        <f>IF(Alcantarillas!J80=1.3,Alcantarillas!AX80,0)</f>
        <v>0</v>
      </c>
      <c r="X75" s="160">
        <f>IF(Alcantarillas!J80=1.4,Alcantarillas!AX80,0)</f>
        <v>0</v>
      </c>
      <c r="Y75" s="160">
        <f>IF(Alcantarillas!L80=1.2,Alcantarillas!AX80,0)</f>
        <v>0</v>
      </c>
      <c r="Z75" s="160">
        <f>IF(Alcantarillas!L80=1.5,Alcantarillas!AX80,0)</f>
        <v>0</v>
      </c>
      <c r="AB75" s="21"/>
      <c r="AC75" s="5">
        <f t="shared" si="102"/>
        <v>2.2000000000000002</v>
      </c>
      <c r="AD75" s="21"/>
      <c r="AE75" s="5">
        <f t="shared" si="103"/>
        <v>1.1309733552923256</v>
      </c>
      <c r="AF75" s="5">
        <f t="shared" si="104"/>
        <v>0</v>
      </c>
      <c r="AG75" s="21"/>
      <c r="AH75" s="5">
        <f t="shared" si="105"/>
        <v>0</v>
      </c>
      <c r="AI75" s="5">
        <f t="shared" si="106"/>
        <v>0</v>
      </c>
      <c r="AJ75" s="5">
        <f t="shared" si="107"/>
        <v>5.2</v>
      </c>
      <c r="AK75" s="5">
        <f t="shared" si="108"/>
        <v>5.5500000000000007</v>
      </c>
      <c r="AL75" s="5">
        <f t="shared" si="109"/>
        <v>0</v>
      </c>
      <c r="AM75" s="5">
        <f t="shared" si="110"/>
        <v>0</v>
      </c>
      <c r="AO75" s="21">
        <v>2.0499999999999998</v>
      </c>
      <c r="AP75" s="5">
        <f t="shared" si="111"/>
        <v>2.2000000000000002</v>
      </c>
      <c r="AQ75" s="21">
        <v>0.2</v>
      </c>
      <c r="AR75" s="5">
        <f t="shared" si="112"/>
        <v>1.1309733552923256</v>
      </c>
      <c r="AS75" s="5">
        <f t="shared" si="113"/>
        <v>0.67580532894153489</v>
      </c>
      <c r="AT75" s="21">
        <v>2.12</v>
      </c>
      <c r="AU75" s="5">
        <f t="shared" si="114"/>
        <v>2.8478666666666665</v>
      </c>
      <c r="AV75" s="5">
        <f t="shared" si="115"/>
        <v>0.56957333333333338</v>
      </c>
      <c r="AW75" s="5">
        <f t="shared" si="116"/>
        <v>5.2</v>
      </c>
      <c r="AX75" s="5">
        <f t="shared" si="117"/>
        <v>5.5500000000000007</v>
      </c>
      <c r="AY75" s="5">
        <f t="shared" si="118"/>
        <v>1.1100000000000001</v>
      </c>
      <c r="AZ75" s="5">
        <f t="shared" si="119"/>
        <v>2.3553786622748687</v>
      </c>
      <c r="BB75" s="163"/>
      <c r="BC75" s="118"/>
      <c r="BD75" s="118"/>
      <c r="BE75" s="118"/>
      <c r="BF75" s="118"/>
      <c r="BG75" s="183"/>
      <c r="BH75" s="163"/>
      <c r="BI75" s="167"/>
      <c r="BJ75" s="167"/>
      <c r="BK75" s="167"/>
      <c r="BL75" s="167"/>
      <c r="BN75" s="5">
        <f t="shared" si="87"/>
        <v>2.3553786622748687</v>
      </c>
      <c r="BO75" s="5">
        <f t="shared" si="88"/>
        <v>0</v>
      </c>
      <c r="BP75" s="5">
        <f t="shared" si="89"/>
        <v>0</v>
      </c>
      <c r="BQ75" s="5">
        <f t="shared" si="90"/>
        <v>0</v>
      </c>
      <c r="BR75" s="5">
        <f t="shared" si="91"/>
        <v>0</v>
      </c>
      <c r="BS75" s="163">
        <f t="shared" si="92"/>
        <v>0</v>
      </c>
      <c r="BT75" s="163">
        <f t="shared" si="93"/>
        <v>0</v>
      </c>
      <c r="BU75" s="163">
        <f t="shared" si="94"/>
        <v>0</v>
      </c>
      <c r="BV75" s="163">
        <f t="shared" si="95"/>
        <v>0</v>
      </c>
      <c r="BW75" s="163">
        <f t="shared" si="96"/>
        <v>0</v>
      </c>
      <c r="BX75" s="163">
        <f t="shared" si="97"/>
        <v>1</v>
      </c>
      <c r="BY75" s="163">
        <f t="shared" si="98"/>
        <v>0</v>
      </c>
      <c r="BZ75" s="163">
        <f t="shared" si="99"/>
        <v>0</v>
      </c>
      <c r="CA75" s="163">
        <f t="shared" si="100"/>
        <v>0</v>
      </c>
      <c r="CB75" s="163">
        <f t="shared" si="101"/>
        <v>0</v>
      </c>
      <c r="CC75" s="163">
        <f t="shared" si="120"/>
        <v>1</v>
      </c>
      <c r="CD75" s="163">
        <f t="shared" si="121"/>
        <v>0</v>
      </c>
      <c r="CE75" s="163">
        <f t="shared" si="122"/>
        <v>0</v>
      </c>
      <c r="CF75" s="163">
        <f t="shared" si="123"/>
        <v>0</v>
      </c>
      <c r="CG75" s="163">
        <f t="shared" si="124"/>
        <v>0</v>
      </c>
      <c r="CI75" s="167">
        <v>3.1</v>
      </c>
      <c r="CJ75" s="167">
        <v>4.4000000000000004</v>
      </c>
      <c r="CK75" s="5">
        <f t="shared" si="140"/>
        <v>8.25</v>
      </c>
      <c r="CL75" s="5">
        <f t="shared" si="125"/>
        <v>1.7</v>
      </c>
      <c r="CM75" s="5" t="str">
        <f t="shared" si="126"/>
        <v/>
      </c>
      <c r="CN75" s="5" t="str">
        <f t="shared" si="127"/>
        <v/>
      </c>
      <c r="CO75" s="5" t="str">
        <f t="shared" si="128"/>
        <v/>
      </c>
      <c r="CP75" s="5">
        <f t="shared" si="141"/>
        <v>2.1675</v>
      </c>
      <c r="CQ75" s="5" t="str">
        <f t="shared" si="129"/>
        <v/>
      </c>
      <c r="CR75" s="5" t="str">
        <f t="shared" si="130"/>
        <v/>
      </c>
      <c r="CS75" s="5" t="str">
        <f t="shared" si="131"/>
        <v/>
      </c>
      <c r="CT75" s="50">
        <f t="shared" si="132"/>
        <v>1</v>
      </c>
      <c r="CU75" s="50">
        <f t="shared" si="133"/>
        <v>0</v>
      </c>
      <c r="CV75" s="50">
        <f t="shared" si="134"/>
        <v>0</v>
      </c>
      <c r="CW75" s="50">
        <f t="shared" si="135"/>
        <v>0</v>
      </c>
      <c r="CX75" s="190">
        <f t="shared" si="142"/>
        <v>1</v>
      </c>
      <c r="CZ75" s="1">
        <v>2.6</v>
      </c>
      <c r="DA75" s="167">
        <f t="shared" si="136"/>
        <v>1.7</v>
      </c>
      <c r="DB75" s="1">
        <f>Alcantarillas!AX80</f>
        <v>12.95</v>
      </c>
      <c r="DC75" s="5">
        <f t="shared" si="137"/>
        <v>57.238999999999997</v>
      </c>
      <c r="DE75" s="172">
        <f t="shared" si="138"/>
        <v>0</v>
      </c>
      <c r="DF75" s="172">
        <f t="shared" si="139"/>
        <v>0</v>
      </c>
    </row>
    <row r="76" spans="2:110" x14ac:dyDescent="0.25">
      <c r="N76">
        <v>71</v>
      </c>
      <c r="O76" s="24">
        <f>Alcantarillas!E81</f>
        <v>20636.400000000001</v>
      </c>
      <c r="P76" s="160">
        <f>IF(Alcantarillas!J81=1.2,1,0)</f>
        <v>1</v>
      </c>
      <c r="Q76" s="160">
        <f>IF(Alcantarillas!J81=1.3,1,0)</f>
        <v>0</v>
      </c>
      <c r="R76" s="160">
        <f>IF(Alcantarillas!J81=1.4,1,0)</f>
        <v>0</v>
      </c>
      <c r="S76" s="160">
        <f>IF(Alcantarillas!L81=1.2,1,0)</f>
        <v>0</v>
      </c>
      <c r="T76" s="160">
        <f>IF(Alcantarillas!L81=1.5,1,0)</f>
        <v>0</v>
      </c>
      <c r="V76" s="160">
        <f>IF(Alcantarillas!J81=1.2,Alcantarillas!AX81,0)</f>
        <v>16</v>
      </c>
      <c r="W76" s="160">
        <f>IF(Alcantarillas!J81=1.3,Alcantarillas!AX81,0)</f>
        <v>0</v>
      </c>
      <c r="X76" s="160">
        <f>IF(Alcantarillas!J81=1.4,Alcantarillas!AX81,0)</f>
        <v>0</v>
      </c>
      <c r="Y76" s="160">
        <f>IF(Alcantarillas!L81=1.2,Alcantarillas!AX81,0)</f>
        <v>0</v>
      </c>
      <c r="Z76" s="160">
        <f>IF(Alcantarillas!L81=1.5,Alcantarillas!AX81,0)</f>
        <v>0</v>
      </c>
      <c r="AB76" s="21">
        <v>1.9</v>
      </c>
      <c r="AC76" s="5">
        <f t="shared" si="102"/>
        <v>2.2000000000000002</v>
      </c>
      <c r="AD76" s="21">
        <v>0.2</v>
      </c>
      <c r="AE76" s="5">
        <f t="shared" si="103"/>
        <v>1.1309733552923256</v>
      </c>
      <c r="AF76" s="5">
        <f t="shared" si="104"/>
        <v>0.60980532894153494</v>
      </c>
      <c r="AG76" s="21">
        <v>2.12</v>
      </c>
      <c r="AH76" s="5">
        <f t="shared" si="105"/>
        <v>2.529866666666666</v>
      </c>
      <c r="AI76" s="5">
        <f t="shared" si="106"/>
        <v>0.50597333333333327</v>
      </c>
      <c r="AJ76" s="5">
        <f t="shared" si="107"/>
        <v>5.2</v>
      </c>
      <c r="AK76" s="5">
        <f t="shared" si="108"/>
        <v>5.5500000000000007</v>
      </c>
      <c r="AL76" s="5">
        <f t="shared" si="109"/>
        <v>1.1100000000000001</v>
      </c>
      <c r="AM76" s="5">
        <f t="shared" si="110"/>
        <v>2.2257786622748683</v>
      </c>
      <c r="AO76" s="21">
        <v>1.4</v>
      </c>
      <c r="AP76" s="5">
        <f t="shared" si="111"/>
        <v>2.2000000000000002</v>
      </c>
      <c r="AQ76" s="21">
        <v>0.2</v>
      </c>
      <c r="AR76" s="5">
        <f t="shared" si="112"/>
        <v>1.1309733552923256</v>
      </c>
      <c r="AS76" s="5">
        <f t="shared" si="113"/>
        <v>0.38980532894153491</v>
      </c>
      <c r="AT76" s="21">
        <v>2.12</v>
      </c>
      <c r="AU76" s="5">
        <f t="shared" si="114"/>
        <v>1.4698666666666667</v>
      </c>
      <c r="AV76" s="5">
        <f t="shared" si="115"/>
        <v>0.29397333333333336</v>
      </c>
      <c r="AW76" s="5">
        <f t="shared" si="116"/>
        <v>5.2</v>
      </c>
      <c r="AX76" s="5">
        <f t="shared" si="117"/>
        <v>5.5500000000000007</v>
      </c>
      <c r="AY76" s="5">
        <f t="shared" si="118"/>
        <v>1.1100000000000001</v>
      </c>
      <c r="AZ76" s="5">
        <f t="shared" si="119"/>
        <v>1.7937786622748684</v>
      </c>
      <c r="BB76" s="163"/>
      <c r="BC76" s="118"/>
      <c r="BD76" s="118"/>
      <c r="BE76" s="118"/>
      <c r="BF76" s="118"/>
      <c r="BG76" s="183"/>
      <c r="BH76" s="163"/>
      <c r="BI76" s="167"/>
      <c r="BJ76" s="167"/>
      <c r="BK76" s="167"/>
      <c r="BL76" s="167"/>
      <c r="BN76" s="5">
        <f t="shared" si="87"/>
        <v>4.0195573245497371</v>
      </c>
      <c r="BO76" s="5">
        <f t="shared" si="88"/>
        <v>0</v>
      </c>
      <c r="BP76" s="5">
        <f t="shared" si="89"/>
        <v>0</v>
      </c>
      <c r="BQ76" s="5">
        <f t="shared" si="90"/>
        <v>0</v>
      </c>
      <c r="BR76" s="5">
        <f t="shared" si="91"/>
        <v>0</v>
      </c>
      <c r="BS76" s="163">
        <f t="shared" si="92"/>
        <v>1</v>
      </c>
      <c r="BT76" s="163">
        <f t="shared" si="93"/>
        <v>0</v>
      </c>
      <c r="BU76" s="163">
        <f t="shared" si="94"/>
        <v>0</v>
      </c>
      <c r="BV76" s="163">
        <f t="shared" si="95"/>
        <v>0</v>
      </c>
      <c r="BW76" s="163">
        <f t="shared" si="96"/>
        <v>0</v>
      </c>
      <c r="BX76" s="163">
        <f t="shared" si="97"/>
        <v>1</v>
      </c>
      <c r="BY76" s="163">
        <f t="shared" si="98"/>
        <v>0</v>
      </c>
      <c r="BZ76" s="163">
        <f t="shared" si="99"/>
        <v>0</v>
      </c>
      <c r="CA76" s="163">
        <f t="shared" si="100"/>
        <v>0</v>
      </c>
      <c r="CB76" s="163">
        <f t="shared" si="101"/>
        <v>0</v>
      </c>
      <c r="CC76" s="163">
        <f t="shared" si="120"/>
        <v>2</v>
      </c>
      <c r="CD76" s="163">
        <f t="shared" si="121"/>
        <v>0</v>
      </c>
      <c r="CE76" s="163">
        <f t="shared" si="122"/>
        <v>0</v>
      </c>
      <c r="CF76" s="163">
        <f t="shared" si="123"/>
        <v>0</v>
      </c>
      <c r="CG76" s="163">
        <f t="shared" si="124"/>
        <v>0</v>
      </c>
      <c r="CI76" s="167"/>
      <c r="CJ76" s="167"/>
      <c r="CK76" s="5"/>
      <c r="CL76" s="5"/>
      <c r="CM76" s="5" t="str">
        <f t="shared" si="126"/>
        <v/>
      </c>
      <c r="CN76" s="5" t="str">
        <f t="shared" si="127"/>
        <v/>
      </c>
      <c r="CO76" s="5" t="str">
        <f t="shared" si="128"/>
        <v/>
      </c>
      <c r="CP76" s="5" t="str">
        <f t="shared" si="141"/>
        <v/>
      </c>
      <c r="CQ76" s="5" t="str">
        <f t="shared" si="129"/>
        <v/>
      </c>
      <c r="CR76" s="5" t="str">
        <f t="shared" si="130"/>
        <v/>
      </c>
      <c r="CS76" s="5" t="str">
        <f t="shared" si="131"/>
        <v/>
      </c>
      <c r="CT76" s="50">
        <f t="shared" si="132"/>
        <v>0</v>
      </c>
      <c r="CU76" s="50">
        <f t="shared" si="133"/>
        <v>0</v>
      </c>
      <c r="CV76" s="50">
        <f t="shared" si="134"/>
        <v>0</v>
      </c>
      <c r="CW76" s="50">
        <f t="shared" si="135"/>
        <v>0</v>
      </c>
      <c r="CX76" s="190">
        <f t="shared" si="142"/>
        <v>0</v>
      </c>
      <c r="CZ76" s="1">
        <v>2.2000000000000002</v>
      </c>
      <c r="DA76" s="167">
        <f t="shared" si="136"/>
        <v>1.7</v>
      </c>
      <c r="DB76" s="1">
        <f>Alcantarillas!AX81</f>
        <v>16</v>
      </c>
      <c r="DC76" s="5">
        <f t="shared" si="137"/>
        <v>59.84</v>
      </c>
      <c r="DE76" s="172">
        <f t="shared" si="138"/>
        <v>0</v>
      </c>
      <c r="DF76" s="172">
        <f t="shared" si="139"/>
        <v>0</v>
      </c>
    </row>
    <row r="77" spans="2:110" x14ac:dyDescent="0.25">
      <c r="N77">
        <v>72</v>
      </c>
      <c r="O77" s="24">
        <f>Alcantarillas!E82</f>
        <v>21163</v>
      </c>
      <c r="P77" s="160">
        <f>IF(Alcantarillas!J82=1.2,1,0)</f>
        <v>1</v>
      </c>
      <c r="Q77" s="160">
        <f>IF(Alcantarillas!J82=1.3,1,0)</f>
        <v>0</v>
      </c>
      <c r="R77" s="160">
        <f>IF(Alcantarillas!J82=1.4,1,0)</f>
        <v>0</v>
      </c>
      <c r="S77" s="160">
        <f>IF(Alcantarillas!L82=1.2,1,0)</f>
        <v>0</v>
      </c>
      <c r="T77" s="160">
        <f>IF(Alcantarillas!L82=1.5,1,0)</f>
        <v>0</v>
      </c>
      <c r="V77" s="160">
        <f>IF(Alcantarillas!J82=1.2,Alcantarillas!AX82,0)</f>
        <v>14.95</v>
      </c>
      <c r="W77" s="160">
        <f>IF(Alcantarillas!J82=1.3,Alcantarillas!AX82,0)</f>
        <v>0</v>
      </c>
      <c r="X77" s="160">
        <f>IF(Alcantarillas!J82=1.4,Alcantarillas!AX82,0)</f>
        <v>0</v>
      </c>
      <c r="Y77" s="160">
        <f>IF(Alcantarillas!L82=1.2,Alcantarillas!AX82,0)</f>
        <v>0</v>
      </c>
      <c r="Z77" s="160">
        <f>IF(Alcantarillas!L82=1.5,Alcantarillas!AX82,0)</f>
        <v>0</v>
      </c>
      <c r="AB77" s="21"/>
      <c r="AC77" s="5">
        <f t="shared" si="102"/>
        <v>2.2000000000000002</v>
      </c>
      <c r="AD77" s="21"/>
      <c r="AE77" s="5">
        <f t="shared" si="103"/>
        <v>1.1309733552923256</v>
      </c>
      <c r="AF77" s="5">
        <f t="shared" si="104"/>
        <v>0</v>
      </c>
      <c r="AG77" s="21"/>
      <c r="AH77" s="5">
        <f t="shared" si="105"/>
        <v>0</v>
      </c>
      <c r="AI77" s="5">
        <f t="shared" si="106"/>
        <v>0</v>
      </c>
      <c r="AJ77" s="5">
        <f t="shared" si="107"/>
        <v>5.2</v>
      </c>
      <c r="AK77" s="5">
        <f t="shared" si="108"/>
        <v>5.5500000000000007</v>
      </c>
      <c r="AL77" s="5">
        <f t="shared" si="109"/>
        <v>0</v>
      </c>
      <c r="AM77" s="5">
        <f t="shared" si="110"/>
        <v>0</v>
      </c>
      <c r="AO77" s="21">
        <v>1.5</v>
      </c>
      <c r="AP77" s="5">
        <f t="shared" si="111"/>
        <v>2.2000000000000002</v>
      </c>
      <c r="AQ77" s="21">
        <v>0.2</v>
      </c>
      <c r="AR77" s="5">
        <f t="shared" si="112"/>
        <v>1.1309733552923256</v>
      </c>
      <c r="AS77" s="5">
        <f t="shared" si="113"/>
        <v>0.4338053289415349</v>
      </c>
      <c r="AT77" s="21">
        <v>2.12</v>
      </c>
      <c r="AU77" s="5">
        <f t="shared" si="114"/>
        <v>1.6818666666666668</v>
      </c>
      <c r="AV77" s="5">
        <f t="shared" si="115"/>
        <v>0.33637333333333341</v>
      </c>
      <c r="AW77" s="5">
        <f t="shared" si="116"/>
        <v>5.2</v>
      </c>
      <c r="AX77" s="5">
        <f t="shared" si="117"/>
        <v>5.5500000000000007</v>
      </c>
      <c r="AY77" s="5">
        <f t="shared" si="118"/>
        <v>1.1100000000000001</v>
      </c>
      <c r="AZ77" s="5">
        <f t="shared" si="119"/>
        <v>1.8801786622748684</v>
      </c>
      <c r="BB77" s="163"/>
      <c r="BC77" s="118"/>
      <c r="BD77" s="118"/>
      <c r="BE77" s="118"/>
      <c r="BF77" s="118"/>
      <c r="BG77" s="183"/>
      <c r="BH77" s="163"/>
      <c r="BI77" s="167"/>
      <c r="BJ77" s="167"/>
      <c r="BK77" s="167"/>
      <c r="BL77" s="167"/>
      <c r="BN77" s="5">
        <f t="shared" si="87"/>
        <v>1.8801786622748684</v>
      </c>
      <c r="BO77" s="5">
        <f t="shared" si="88"/>
        <v>0</v>
      </c>
      <c r="BP77" s="5">
        <f t="shared" si="89"/>
        <v>0</v>
      </c>
      <c r="BQ77" s="5">
        <f t="shared" si="90"/>
        <v>0</v>
      </c>
      <c r="BR77" s="5">
        <f t="shared" si="91"/>
        <v>0</v>
      </c>
      <c r="BS77" s="163">
        <f t="shared" si="92"/>
        <v>0</v>
      </c>
      <c r="BT77" s="163">
        <f t="shared" si="93"/>
        <v>0</v>
      </c>
      <c r="BU77" s="163">
        <f t="shared" si="94"/>
        <v>0</v>
      </c>
      <c r="BV77" s="163">
        <f t="shared" si="95"/>
        <v>0</v>
      </c>
      <c r="BW77" s="163">
        <f t="shared" si="96"/>
        <v>0</v>
      </c>
      <c r="BX77" s="163">
        <f t="shared" si="97"/>
        <v>1</v>
      </c>
      <c r="BY77" s="163">
        <f t="shared" si="98"/>
        <v>0</v>
      </c>
      <c r="BZ77" s="163">
        <f t="shared" si="99"/>
        <v>0</v>
      </c>
      <c r="CA77" s="163">
        <f t="shared" si="100"/>
        <v>0</v>
      </c>
      <c r="CB77" s="163">
        <f t="shared" si="101"/>
        <v>0</v>
      </c>
      <c r="CC77" s="163">
        <f t="shared" si="120"/>
        <v>1</v>
      </c>
      <c r="CD77" s="163">
        <f t="shared" si="121"/>
        <v>0</v>
      </c>
      <c r="CE77" s="163">
        <f t="shared" si="122"/>
        <v>0</v>
      </c>
      <c r="CF77" s="163">
        <f t="shared" si="123"/>
        <v>0</v>
      </c>
      <c r="CG77" s="163">
        <f t="shared" si="124"/>
        <v>0</v>
      </c>
      <c r="CI77" s="167">
        <v>2.4</v>
      </c>
      <c r="CJ77" s="167">
        <v>4.8</v>
      </c>
      <c r="CK77" s="5">
        <f t="shared" si="140"/>
        <v>7.92</v>
      </c>
      <c r="CL77" s="5">
        <f t="shared" si="125"/>
        <v>1.7</v>
      </c>
      <c r="CM77" s="5" t="str">
        <f t="shared" si="126"/>
        <v/>
      </c>
      <c r="CN77" s="5" t="str">
        <f t="shared" si="127"/>
        <v/>
      </c>
      <c r="CO77" s="5" t="str">
        <f t="shared" si="128"/>
        <v/>
      </c>
      <c r="CP77" s="5">
        <f t="shared" si="141"/>
        <v>2.0909999999999997</v>
      </c>
      <c r="CQ77" s="5" t="str">
        <f t="shared" si="129"/>
        <v/>
      </c>
      <c r="CR77" s="5" t="str">
        <f t="shared" si="130"/>
        <v/>
      </c>
      <c r="CS77" s="5" t="str">
        <f t="shared" si="131"/>
        <v/>
      </c>
      <c r="CT77" s="50">
        <f t="shared" si="132"/>
        <v>1</v>
      </c>
      <c r="CU77" s="50">
        <f t="shared" si="133"/>
        <v>0</v>
      </c>
      <c r="CV77" s="50">
        <f t="shared" si="134"/>
        <v>0</v>
      </c>
      <c r="CW77" s="50">
        <f t="shared" si="135"/>
        <v>0</v>
      </c>
      <c r="CX77" s="190">
        <f t="shared" si="142"/>
        <v>1</v>
      </c>
      <c r="CZ77" s="1">
        <v>2</v>
      </c>
      <c r="DA77" s="167">
        <f t="shared" si="136"/>
        <v>1.7</v>
      </c>
      <c r="DB77" s="1">
        <f>Alcantarillas!AX82</f>
        <v>14.95</v>
      </c>
      <c r="DC77" s="5">
        <f t="shared" si="137"/>
        <v>50.83</v>
      </c>
      <c r="DE77" s="172">
        <f t="shared" si="138"/>
        <v>0</v>
      </c>
      <c r="DF77" s="172">
        <f t="shared" si="139"/>
        <v>0</v>
      </c>
    </row>
    <row r="78" spans="2:110" x14ac:dyDescent="0.25">
      <c r="N78">
        <v>73</v>
      </c>
      <c r="O78" s="24">
        <f>Alcantarillas!E83</f>
        <v>21321.1</v>
      </c>
      <c r="P78" s="160">
        <f>IF(Alcantarillas!J83=1.2,1,0)</f>
        <v>1</v>
      </c>
      <c r="Q78" s="160">
        <f>IF(Alcantarillas!J83=1.3,1,0)</f>
        <v>0</v>
      </c>
      <c r="R78" s="160">
        <f>IF(Alcantarillas!J83=1.4,1,0)</f>
        <v>0</v>
      </c>
      <c r="S78" s="160">
        <f>IF(Alcantarillas!L83=1.2,1,0)</f>
        <v>0</v>
      </c>
      <c r="T78" s="160">
        <f>IF(Alcantarillas!L83=1.5,1,0)</f>
        <v>0</v>
      </c>
      <c r="V78" s="160">
        <f>IF(Alcantarillas!J83=1.2,Alcantarillas!AX83,0)</f>
        <v>34.85</v>
      </c>
      <c r="W78" s="160">
        <f>IF(Alcantarillas!J83=1.3,Alcantarillas!AX83,0)</f>
        <v>0</v>
      </c>
      <c r="X78" s="160">
        <f>IF(Alcantarillas!J83=1.4,Alcantarillas!AX83,0)</f>
        <v>0</v>
      </c>
      <c r="Y78" s="160">
        <f>IF(Alcantarillas!L83=1.2,Alcantarillas!AX83,0)</f>
        <v>0</v>
      </c>
      <c r="Z78" s="160">
        <f>IF(Alcantarillas!L83=1.5,Alcantarillas!AX83,0)</f>
        <v>0</v>
      </c>
      <c r="AB78" s="21">
        <v>1.5</v>
      </c>
      <c r="AC78" s="5">
        <f t="shared" si="102"/>
        <v>2.2000000000000002</v>
      </c>
      <c r="AD78" s="21">
        <v>0.2</v>
      </c>
      <c r="AE78" s="5">
        <f t="shared" si="103"/>
        <v>1.1309733552923256</v>
      </c>
      <c r="AF78" s="5">
        <f t="shared" si="104"/>
        <v>0.4338053289415349</v>
      </c>
      <c r="AG78" s="21">
        <v>2.12</v>
      </c>
      <c r="AH78" s="5">
        <f t="shared" si="105"/>
        <v>1.6818666666666668</v>
      </c>
      <c r="AI78" s="5">
        <f t="shared" si="106"/>
        <v>0.33637333333333341</v>
      </c>
      <c r="AJ78" s="5">
        <f t="shared" si="107"/>
        <v>5.2</v>
      </c>
      <c r="AK78" s="5">
        <f t="shared" si="108"/>
        <v>5.5500000000000007</v>
      </c>
      <c r="AL78" s="5">
        <f t="shared" si="109"/>
        <v>1.1100000000000001</v>
      </c>
      <c r="AM78" s="5">
        <f t="shared" si="110"/>
        <v>1.8801786622748684</v>
      </c>
      <c r="AO78" s="21">
        <v>1.8</v>
      </c>
      <c r="AP78" s="5">
        <f t="shared" si="111"/>
        <v>2.2000000000000002</v>
      </c>
      <c r="AQ78" s="21">
        <v>0.2</v>
      </c>
      <c r="AR78" s="5">
        <f t="shared" si="112"/>
        <v>1.1309733552923256</v>
      </c>
      <c r="AS78" s="5">
        <f t="shared" si="113"/>
        <v>0.5658053289415349</v>
      </c>
      <c r="AT78" s="21">
        <v>2.12</v>
      </c>
      <c r="AU78" s="5">
        <f t="shared" si="114"/>
        <v>2.3178666666666672</v>
      </c>
      <c r="AV78" s="5">
        <f t="shared" si="115"/>
        <v>0.46357333333333345</v>
      </c>
      <c r="AW78" s="5">
        <f t="shared" si="116"/>
        <v>5.2</v>
      </c>
      <c r="AX78" s="5">
        <f t="shared" si="117"/>
        <v>5.5500000000000007</v>
      </c>
      <c r="AY78" s="5">
        <f t="shared" si="118"/>
        <v>1.1100000000000001</v>
      </c>
      <c r="AZ78" s="5">
        <f t="shared" si="119"/>
        <v>2.1393786622748685</v>
      </c>
      <c r="BB78" s="163"/>
      <c r="BC78" s="118"/>
      <c r="BD78" s="118"/>
      <c r="BE78" s="118"/>
      <c r="BF78" s="118"/>
      <c r="BG78" s="183"/>
      <c r="BH78" s="163"/>
      <c r="BI78" s="167"/>
      <c r="BJ78" s="167"/>
      <c r="BK78" s="167"/>
      <c r="BL78" s="167"/>
      <c r="BN78" s="5">
        <f t="shared" si="87"/>
        <v>4.0195573245497371</v>
      </c>
      <c r="BO78" s="5">
        <f t="shared" si="88"/>
        <v>0</v>
      </c>
      <c r="BP78" s="5">
        <f t="shared" si="89"/>
        <v>0</v>
      </c>
      <c r="BQ78" s="5">
        <f t="shared" si="90"/>
        <v>0</v>
      </c>
      <c r="BR78" s="5">
        <f t="shared" si="91"/>
        <v>0</v>
      </c>
      <c r="BS78" s="163">
        <f t="shared" si="92"/>
        <v>1</v>
      </c>
      <c r="BT78" s="163">
        <f t="shared" si="93"/>
        <v>0</v>
      </c>
      <c r="BU78" s="163">
        <f t="shared" si="94"/>
        <v>0</v>
      </c>
      <c r="BV78" s="163">
        <f t="shared" si="95"/>
        <v>0</v>
      </c>
      <c r="BW78" s="163">
        <f t="shared" si="96"/>
        <v>0</v>
      </c>
      <c r="BX78" s="163">
        <f t="shared" si="97"/>
        <v>1</v>
      </c>
      <c r="BY78" s="163">
        <f t="shared" si="98"/>
        <v>0</v>
      </c>
      <c r="BZ78" s="163">
        <f t="shared" si="99"/>
        <v>0</v>
      </c>
      <c r="CA78" s="163">
        <f t="shared" si="100"/>
        <v>0</v>
      </c>
      <c r="CB78" s="163">
        <f t="shared" si="101"/>
        <v>0</v>
      </c>
      <c r="CC78" s="163">
        <f t="shared" si="120"/>
        <v>2</v>
      </c>
      <c r="CD78" s="163">
        <f t="shared" si="121"/>
        <v>0</v>
      </c>
      <c r="CE78" s="163">
        <f t="shared" si="122"/>
        <v>0</v>
      </c>
      <c r="CF78" s="163">
        <f t="shared" si="123"/>
        <v>0</v>
      </c>
      <c r="CG78" s="163">
        <f t="shared" si="124"/>
        <v>0</v>
      </c>
      <c r="CI78" s="167"/>
      <c r="CJ78" s="167"/>
      <c r="CK78" s="5"/>
      <c r="CL78" s="5"/>
      <c r="CM78" s="5" t="str">
        <f t="shared" si="126"/>
        <v/>
      </c>
      <c r="CN78" s="5" t="str">
        <f t="shared" si="127"/>
        <v/>
      </c>
      <c r="CO78" s="5" t="str">
        <f t="shared" si="128"/>
        <v/>
      </c>
      <c r="CP78" s="5" t="str">
        <f t="shared" si="141"/>
        <v/>
      </c>
      <c r="CQ78" s="5" t="str">
        <f t="shared" si="129"/>
        <v/>
      </c>
      <c r="CR78" s="5" t="str">
        <f t="shared" si="130"/>
        <v/>
      </c>
      <c r="CS78" s="5" t="str">
        <f t="shared" si="131"/>
        <v/>
      </c>
      <c r="CT78" s="50">
        <f t="shared" si="132"/>
        <v>0</v>
      </c>
      <c r="CU78" s="50">
        <f t="shared" si="133"/>
        <v>0</v>
      </c>
      <c r="CV78" s="50">
        <f t="shared" si="134"/>
        <v>0</v>
      </c>
      <c r="CW78" s="50">
        <f t="shared" si="135"/>
        <v>0</v>
      </c>
      <c r="CX78" s="190">
        <f t="shared" si="142"/>
        <v>0</v>
      </c>
      <c r="CZ78" s="1">
        <v>3.6</v>
      </c>
      <c r="DA78" s="167">
        <f t="shared" si="136"/>
        <v>1.7</v>
      </c>
      <c r="DB78" s="1">
        <f>Alcantarillas!AX83</f>
        <v>34.85</v>
      </c>
      <c r="DC78" s="5">
        <f t="shared" si="137"/>
        <v>213.28200000000001</v>
      </c>
      <c r="DE78" s="172">
        <f t="shared" si="138"/>
        <v>0</v>
      </c>
      <c r="DF78" s="172">
        <f t="shared" si="139"/>
        <v>0</v>
      </c>
    </row>
    <row r="79" spans="2:110" x14ac:dyDescent="0.25">
      <c r="N79">
        <v>74</v>
      </c>
      <c r="O79" s="24">
        <f>Alcantarillas!E84</f>
        <v>21370</v>
      </c>
      <c r="P79" s="160">
        <f>IF(Alcantarillas!J84=1.2,1,0)</f>
        <v>1</v>
      </c>
      <c r="Q79" s="160">
        <f>IF(Alcantarillas!J84=1.3,1,0)</f>
        <v>0</v>
      </c>
      <c r="R79" s="160">
        <f>IF(Alcantarillas!J84=1.4,1,0)</f>
        <v>0</v>
      </c>
      <c r="S79" s="160">
        <f>IF(Alcantarillas!L84=1.2,1,0)</f>
        <v>0</v>
      </c>
      <c r="T79" s="160">
        <f>IF(Alcantarillas!L84=1.5,1,0)</f>
        <v>0</v>
      </c>
      <c r="V79" s="160">
        <f>IF(Alcantarillas!J84=1.2,Alcantarillas!AX84,0)</f>
        <v>23.4</v>
      </c>
      <c r="W79" s="160">
        <f>IF(Alcantarillas!J84=1.3,Alcantarillas!AX84,0)</f>
        <v>0</v>
      </c>
      <c r="X79" s="160">
        <f>IF(Alcantarillas!J84=1.4,Alcantarillas!AX84,0)</f>
        <v>0</v>
      </c>
      <c r="Y79" s="160">
        <f>IF(Alcantarillas!L84=1.2,Alcantarillas!AX84,0)</f>
        <v>0</v>
      </c>
      <c r="Z79" s="160">
        <f>IF(Alcantarillas!L84=1.5,Alcantarillas!AX84,0)</f>
        <v>0</v>
      </c>
      <c r="AB79" s="21"/>
      <c r="AC79" s="5">
        <f t="shared" si="102"/>
        <v>2.2000000000000002</v>
      </c>
      <c r="AD79" s="21"/>
      <c r="AE79" s="5">
        <f t="shared" si="103"/>
        <v>1.1309733552923256</v>
      </c>
      <c r="AF79" s="5">
        <f t="shared" si="104"/>
        <v>0</v>
      </c>
      <c r="AG79" s="21"/>
      <c r="AH79" s="5">
        <f t="shared" si="105"/>
        <v>0</v>
      </c>
      <c r="AI79" s="5">
        <f t="shared" si="106"/>
        <v>0</v>
      </c>
      <c r="AJ79" s="5">
        <f t="shared" si="107"/>
        <v>5.2</v>
      </c>
      <c r="AK79" s="5">
        <f t="shared" si="108"/>
        <v>5.5500000000000007</v>
      </c>
      <c r="AL79" s="5">
        <f t="shared" si="109"/>
        <v>0</v>
      </c>
      <c r="AM79" s="5">
        <f t="shared" si="110"/>
        <v>0</v>
      </c>
      <c r="AO79" s="21">
        <v>2.0499999999999998</v>
      </c>
      <c r="AP79" s="5">
        <f t="shared" si="111"/>
        <v>2.2000000000000002</v>
      </c>
      <c r="AQ79" s="21">
        <v>0.2</v>
      </c>
      <c r="AR79" s="5">
        <f t="shared" si="112"/>
        <v>1.1309733552923256</v>
      </c>
      <c r="AS79" s="5">
        <f t="shared" si="113"/>
        <v>0.67580532894153489</v>
      </c>
      <c r="AT79" s="21">
        <v>2.12</v>
      </c>
      <c r="AU79" s="5">
        <f t="shared" si="114"/>
        <v>2.8478666666666665</v>
      </c>
      <c r="AV79" s="5">
        <f t="shared" si="115"/>
        <v>0.56957333333333338</v>
      </c>
      <c r="AW79" s="5">
        <f t="shared" si="116"/>
        <v>5.2</v>
      </c>
      <c r="AX79" s="5">
        <f t="shared" si="117"/>
        <v>5.5500000000000007</v>
      </c>
      <c r="AY79" s="5">
        <f t="shared" si="118"/>
        <v>1.1100000000000001</v>
      </c>
      <c r="AZ79" s="5">
        <f t="shared" si="119"/>
        <v>2.3553786622748687</v>
      </c>
      <c r="BB79" s="163"/>
      <c r="BC79" s="118"/>
      <c r="BD79" s="118"/>
      <c r="BE79" s="118"/>
      <c r="BF79" s="118"/>
      <c r="BG79" s="183"/>
      <c r="BH79" s="163"/>
      <c r="BI79" s="167"/>
      <c r="BJ79" s="167"/>
      <c r="BK79" s="167"/>
      <c r="BL79" s="167"/>
      <c r="BN79" s="5">
        <f t="shared" si="87"/>
        <v>2.3553786622748687</v>
      </c>
      <c r="BO79" s="5">
        <f t="shared" si="88"/>
        <v>0</v>
      </c>
      <c r="BP79" s="5">
        <f t="shared" si="89"/>
        <v>0</v>
      </c>
      <c r="BQ79" s="5">
        <f t="shared" si="90"/>
        <v>0</v>
      </c>
      <c r="BR79" s="5">
        <f t="shared" si="91"/>
        <v>0</v>
      </c>
      <c r="BS79" s="163">
        <f t="shared" si="92"/>
        <v>0</v>
      </c>
      <c r="BT79" s="163">
        <f t="shared" si="93"/>
        <v>0</v>
      </c>
      <c r="BU79" s="163">
        <f t="shared" si="94"/>
        <v>0</v>
      </c>
      <c r="BV79" s="163">
        <f t="shared" si="95"/>
        <v>0</v>
      </c>
      <c r="BW79" s="163">
        <f t="shared" si="96"/>
        <v>0</v>
      </c>
      <c r="BX79" s="163">
        <f t="shared" si="97"/>
        <v>1</v>
      </c>
      <c r="BY79" s="163">
        <f t="shared" si="98"/>
        <v>0</v>
      </c>
      <c r="BZ79" s="163">
        <f t="shared" si="99"/>
        <v>0</v>
      </c>
      <c r="CA79" s="163">
        <f t="shared" si="100"/>
        <v>0</v>
      </c>
      <c r="CB79" s="163">
        <f t="shared" si="101"/>
        <v>0</v>
      </c>
      <c r="CC79" s="163">
        <f t="shared" si="120"/>
        <v>1</v>
      </c>
      <c r="CD79" s="163">
        <f t="shared" si="121"/>
        <v>0</v>
      </c>
      <c r="CE79" s="163">
        <f t="shared" si="122"/>
        <v>0</v>
      </c>
      <c r="CF79" s="163">
        <f t="shared" si="123"/>
        <v>0</v>
      </c>
      <c r="CG79" s="163">
        <f t="shared" si="124"/>
        <v>0</v>
      </c>
      <c r="CI79" s="167">
        <v>3.8</v>
      </c>
      <c r="CJ79" s="167">
        <v>2.4</v>
      </c>
      <c r="CK79" s="5">
        <f t="shared" si="140"/>
        <v>6.8199999999999994</v>
      </c>
      <c r="CL79" s="5">
        <f t="shared" si="125"/>
        <v>1.7</v>
      </c>
      <c r="CM79" s="5" t="str">
        <f t="shared" si="126"/>
        <v/>
      </c>
      <c r="CN79" s="5" t="str">
        <f t="shared" si="127"/>
        <v/>
      </c>
      <c r="CO79" s="5" t="str">
        <f t="shared" si="128"/>
        <v/>
      </c>
      <c r="CP79" s="5">
        <f t="shared" si="141"/>
        <v>1.8359999999999996</v>
      </c>
      <c r="CQ79" s="5" t="str">
        <f t="shared" si="129"/>
        <v/>
      </c>
      <c r="CR79" s="5" t="str">
        <f t="shared" si="130"/>
        <v/>
      </c>
      <c r="CS79" s="5" t="str">
        <f t="shared" si="131"/>
        <v/>
      </c>
      <c r="CT79" s="50">
        <f t="shared" si="132"/>
        <v>1</v>
      </c>
      <c r="CU79" s="50">
        <f t="shared" si="133"/>
        <v>0</v>
      </c>
      <c r="CV79" s="50">
        <f t="shared" si="134"/>
        <v>0</v>
      </c>
      <c r="CW79" s="50">
        <f t="shared" si="135"/>
        <v>0</v>
      </c>
      <c r="CX79" s="190">
        <f t="shared" si="142"/>
        <v>1</v>
      </c>
      <c r="CZ79" s="1">
        <v>1.9</v>
      </c>
      <c r="DA79" s="167">
        <f t="shared" si="136"/>
        <v>1.7</v>
      </c>
      <c r="DB79" s="1">
        <f>Alcantarillas!AX84</f>
        <v>23.4</v>
      </c>
      <c r="DC79" s="5">
        <f t="shared" si="137"/>
        <v>75.581999999999994</v>
      </c>
      <c r="DE79" s="172">
        <f t="shared" si="138"/>
        <v>0</v>
      </c>
      <c r="DF79" s="172">
        <f t="shared" si="139"/>
        <v>0</v>
      </c>
    </row>
    <row r="80" spans="2:110" x14ac:dyDescent="0.25">
      <c r="N80">
        <v>75</v>
      </c>
      <c r="O80" s="24">
        <f>Alcantarillas!E85</f>
        <v>21800</v>
      </c>
      <c r="P80" s="160">
        <f>IF(Alcantarillas!J85=1.2,1,0)</f>
        <v>1</v>
      </c>
      <c r="Q80" s="160">
        <f>IF(Alcantarillas!J85=1.3,1,0)</f>
        <v>0</v>
      </c>
      <c r="R80" s="160">
        <f>IF(Alcantarillas!J85=1.4,1,0)</f>
        <v>0</v>
      </c>
      <c r="S80" s="160">
        <f>IF(Alcantarillas!L85=1.2,1,0)</f>
        <v>0</v>
      </c>
      <c r="T80" s="160">
        <f>IF(Alcantarillas!L85=1.5,1,0)</f>
        <v>0</v>
      </c>
      <c r="V80" s="160">
        <f>IF(Alcantarillas!J85=1.2,Alcantarillas!AX85,0)</f>
        <v>8.9499999999999993</v>
      </c>
      <c r="W80" s="160">
        <f>IF(Alcantarillas!J85=1.3,Alcantarillas!AX85,0)</f>
        <v>0</v>
      </c>
      <c r="X80" s="160">
        <f>IF(Alcantarillas!J85=1.4,Alcantarillas!AX85,0)</f>
        <v>0</v>
      </c>
      <c r="Y80" s="160">
        <f>IF(Alcantarillas!L85=1.2,Alcantarillas!AX85,0)</f>
        <v>0</v>
      </c>
      <c r="Z80" s="160">
        <f>IF(Alcantarillas!L85=1.5,Alcantarillas!AX85,0)</f>
        <v>0</v>
      </c>
      <c r="AB80" s="21"/>
      <c r="AC80" s="5">
        <f t="shared" si="102"/>
        <v>2.2000000000000002</v>
      </c>
      <c r="AD80" s="21"/>
      <c r="AE80" s="5">
        <f t="shared" si="103"/>
        <v>1.1309733552923256</v>
      </c>
      <c r="AF80" s="5">
        <f t="shared" si="104"/>
        <v>0</v>
      </c>
      <c r="AG80" s="21"/>
      <c r="AH80" s="5">
        <f t="shared" si="105"/>
        <v>0</v>
      </c>
      <c r="AI80" s="5">
        <f t="shared" si="106"/>
        <v>0</v>
      </c>
      <c r="AJ80" s="5">
        <f t="shared" si="107"/>
        <v>5.2</v>
      </c>
      <c r="AK80" s="5">
        <f t="shared" si="108"/>
        <v>5.5500000000000007</v>
      </c>
      <c r="AL80" s="5">
        <f t="shared" si="109"/>
        <v>0</v>
      </c>
      <c r="AM80" s="5">
        <f t="shared" si="110"/>
        <v>0</v>
      </c>
      <c r="AO80" s="21">
        <v>2.1</v>
      </c>
      <c r="AP80" s="5">
        <f t="shared" si="111"/>
        <v>2.2000000000000002</v>
      </c>
      <c r="AQ80" s="21">
        <v>0.2</v>
      </c>
      <c r="AR80" s="5">
        <f t="shared" si="112"/>
        <v>1.1309733552923256</v>
      </c>
      <c r="AS80" s="5">
        <f t="shared" si="113"/>
        <v>0.69780532894153513</v>
      </c>
      <c r="AT80" s="21">
        <v>2.12</v>
      </c>
      <c r="AU80" s="5">
        <f t="shared" si="114"/>
        <v>2.9538666666666673</v>
      </c>
      <c r="AV80" s="5">
        <f t="shared" si="115"/>
        <v>0.59077333333333348</v>
      </c>
      <c r="AW80" s="5">
        <f t="shared" si="116"/>
        <v>5.2</v>
      </c>
      <c r="AX80" s="5">
        <f t="shared" si="117"/>
        <v>5.5500000000000007</v>
      </c>
      <c r="AY80" s="5">
        <f t="shared" si="118"/>
        <v>1.1100000000000001</v>
      </c>
      <c r="AZ80" s="5">
        <f t="shared" si="119"/>
        <v>2.3985786622748684</v>
      </c>
      <c r="BB80" s="163"/>
      <c r="BC80" s="118"/>
      <c r="BD80" s="118"/>
      <c r="BE80" s="118"/>
      <c r="BF80" s="118"/>
      <c r="BG80" s="183"/>
      <c r="BH80" s="163"/>
      <c r="BI80" s="167"/>
      <c r="BJ80" s="167"/>
      <c r="BK80" s="167"/>
      <c r="BL80" s="167"/>
      <c r="BN80" s="5">
        <f t="shared" si="87"/>
        <v>2.3985786622748684</v>
      </c>
      <c r="BO80" s="5">
        <f t="shared" si="88"/>
        <v>0</v>
      </c>
      <c r="BP80" s="5">
        <f t="shared" si="89"/>
        <v>0</v>
      </c>
      <c r="BQ80" s="5">
        <f t="shared" si="90"/>
        <v>0</v>
      </c>
      <c r="BR80" s="5">
        <f t="shared" si="91"/>
        <v>0</v>
      </c>
      <c r="BS80" s="163">
        <f t="shared" si="92"/>
        <v>0</v>
      </c>
      <c r="BT80" s="163">
        <f t="shared" si="93"/>
        <v>0</v>
      </c>
      <c r="BU80" s="163">
        <f t="shared" si="94"/>
        <v>0</v>
      </c>
      <c r="BV80" s="163">
        <f t="shared" si="95"/>
        <v>0</v>
      </c>
      <c r="BW80" s="163">
        <f t="shared" si="96"/>
        <v>0</v>
      </c>
      <c r="BX80" s="163">
        <f t="shared" si="97"/>
        <v>1</v>
      </c>
      <c r="BY80" s="163">
        <f t="shared" si="98"/>
        <v>0</v>
      </c>
      <c r="BZ80" s="163">
        <f t="shared" si="99"/>
        <v>0</v>
      </c>
      <c r="CA80" s="163">
        <f t="shared" si="100"/>
        <v>0</v>
      </c>
      <c r="CB80" s="163">
        <f t="shared" si="101"/>
        <v>0</v>
      </c>
      <c r="CC80" s="163">
        <f t="shared" si="120"/>
        <v>1</v>
      </c>
      <c r="CD80" s="163">
        <f t="shared" si="121"/>
        <v>0</v>
      </c>
      <c r="CE80" s="163">
        <f t="shared" si="122"/>
        <v>0</v>
      </c>
      <c r="CF80" s="163">
        <f t="shared" si="123"/>
        <v>0</v>
      </c>
      <c r="CG80" s="163">
        <f t="shared" si="124"/>
        <v>0</v>
      </c>
      <c r="CI80" s="167">
        <v>1.9</v>
      </c>
      <c r="CJ80" s="167">
        <v>4.4000000000000004</v>
      </c>
      <c r="CK80" s="5">
        <f t="shared" si="140"/>
        <v>6.9300000000000015</v>
      </c>
      <c r="CL80" s="5">
        <f t="shared" si="125"/>
        <v>1.7</v>
      </c>
      <c r="CM80" s="5" t="str">
        <f t="shared" si="126"/>
        <v/>
      </c>
      <c r="CN80" s="5" t="str">
        <f t="shared" si="127"/>
        <v/>
      </c>
      <c r="CO80" s="5" t="str">
        <f t="shared" si="128"/>
        <v/>
      </c>
      <c r="CP80" s="5">
        <f t="shared" si="141"/>
        <v>1.8614999999999999</v>
      </c>
      <c r="CQ80" s="5" t="str">
        <f t="shared" si="129"/>
        <v/>
      </c>
      <c r="CR80" s="5" t="str">
        <f t="shared" si="130"/>
        <v/>
      </c>
      <c r="CS80" s="5" t="str">
        <f t="shared" si="131"/>
        <v/>
      </c>
      <c r="CT80" s="50">
        <f t="shared" si="132"/>
        <v>1</v>
      </c>
      <c r="CU80" s="50">
        <f t="shared" si="133"/>
        <v>0</v>
      </c>
      <c r="CV80" s="50">
        <f t="shared" si="134"/>
        <v>0</v>
      </c>
      <c r="CW80" s="50">
        <f t="shared" si="135"/>
        <v>0</v>
      </c>
      <c r="CX80" s="190">
        <f t="shared" si="142"/>
        <v>1</v>
      </c>
      <c r="CZ80" s="1">
        <v>1.85</v>
      </c>
      <c r="DA80" s="167">
        <f t="shared" si="136"/>
        <v>1.7</v>
      </c>
      <c r="DB80" s="1">
        <f>Alcantarillas!AX85</f>
        <v>8.9499999999999993</v>
      </c>
      <c r="DC80" s="5">
        <f t="shared" si="137"/>
        <v>28.147749999999998</v>
      </c>
      <c r="DE80" s="172">
        <f t="shared" si="138"/>
        <v>0</v>
      </c>
      <c r="DF80" s="172">
        <f t="shared" si="139"/>
        <v>0</v>
      </c>
    </row>
    <row r="81" spans="14:110" x14ac:dyDescent="0.25">
      <c r="N81">
        <v>76</v>
      </c>
      <c r="O81" s="24">
        <f>Alcantarillas!E86</f>
        <v>21915</v>
      </c>
      <c r="P81" s="160">
        <f>IF(Alcantarillas!J86=1.2,1,0)</f>
        <v>1</v>
      </c>
      <c r="Q81" s="160">
        <f>IF(Alcantarillas!J86=1.3,1,0)</f>
        <v>0</v>
      </c>
      <c r="R81" s="160">
        <f>IF(Alcantarillas!J86=1.4,1,0)</f>
        <v>0</v>
      </c>
      <c r="S81" s="160">
        <f>IF(Alcantarillas!L86=1.2,1,0)</f>
        <v>0</v>
      </c>
      <c r="T81" s="160">
        <f>IF(Alcantarillas!L86=1.5,1,0)</f>
        <v>0</v>
      </c>
      <c r="V81" s="160">
        <f>IF(Alcantarillas!J86=1.2,Alcantarillas!AX86,0)</f>
        <v>11.4</v>
      </c>
      <c r="W81" s="160">
        <f>IF(Alcantarillas!J86=1.3,Alcantarillas!AX86,0)</f>
        <v>0</v>
      </c>
      <c r="X81" s="160">
        <f>IF(Alcantarillas!J86=1.4,Alcantarillas!AX86,0)</f>
        <v>0</v>
      </c>
      <c r="Y81" s="160">
        <f>IF(Alcantarillas!L86=1.2,Alcantarillas!AX86,0)</f>
        <v>0</v>
      </c>
      <c r="Z81" s="160">
        <f>IF(Alcantarillas!L86=1.5,Alcantarillas!AX86,0)</f>
        <v>0</v>
      </c>
      <c r="AB81" s="21"/>
      <c r="AC81" s="5">
        <f t="shared" si="102"/>
        <v>2.2000000000000002</v>
      </c>
      <c r="AD81" s="21"/>
      <c r="AE81" s="5">
        <f t="shared" si="103"/>
        <v>1.1309733552923256</v>
      </c>
      <c r="AF81" s="5">
        <f t="shared" si="104"/>
        <v>0</v>
      </c>
      <c r="AG81" s="21"/>
      <c r="AH81" s="5">
        <f t="shared" si="105"/>
        <v>0</v>
      </c>
      <c r="AI81" s="5">
        <f t="shared" si="106"/>
        <v>0</v>
      </c>
      <c r="AJ81" s="5">
        <f t="shared" si="107"/>
        <v>5.2</v>
      </c>
      <c r="AK81" s="5">
        <f t="shared" si="108"/>
        <v>5.5500000000000007</v>
      </c>
      <c r="AL81" s="5">
        <f t="shared" si="109"/>
        <v>0</v>
      </c>
      <c r="AM81" s="5">
        <f t="shared" si="110"/>
        <v>0</v>
      </c>
      <c r="AO81" s="21">
        <v>1.5</v>
      </c>
      <c r="AP81" s="5">
        <f t="shared" si="111"/>
        <v>2.2000000000000002</v>
      </c>
      <c r="AQ81" s="21">
        <v>0.2</v>
      </c>
      <c r="AR81" s="5">
        <f t="shared" si="112"/>
        <v>1.1309733552923256</v>
      </c>
      <c r="AS81" s="5">
        <f t="shared" si="113"/>
        <v>0.4338053289415349</v>
      </c>
      <c r="AT81" s="21">
        <v>2.12</v>
      </c>
      <c r="AU81" s="5">
        <f t="shared" si="114"/>
        <v>1.6818666666666668</v>
      </c>
      <c r="AV81" s="5">
        <f t="shared" si="115"/>
        <v>0.33637333333333341</v>
      </c>
      <c r="AW81" s="5">
        <f t="shared" si="116"/>
        <v>5.2</v>
      </c>
      <c r="AX81" s="5">
        <f t="shared" si="117"/>
        <v>5.5500000000000007</v>
      </c>
      <c r="AY81" s="5">
        <f t="shared" si="118"/>
        <v>1.1100000000000001</v>
      </c>
      <c r="AZ81" s="5">
        <f t="shared" si="119"/>
        <v>1.8801786622748684</v>
      </c>
      <c r="BB81" s="163"/>
      <c r="BC81" s="118"/>
      <c r="BD81" s="118"/>
      <c r="BE81" s="118"/>
      <c r="BF81" s="118"/>
      <c r="BG81" s="183"/>
      <c r="BH81" s="163">
        <v>4</v>
      </c>
      <c r="BI81" s="167">
        <f>0.2*1.5*BH81</f>
        <v>1.2000000000000002</v>
      </c>
      <c r="BJ81" s="167">
        <f>BI81*(AW81+(2*$BI$1))</f>
        <v>8.6400000000000023</v>
      </c>
      <c r="BK81" s="167">
        <v>4.5</v>
      </c>
      <c r="BL81" s="167">
        <f>BK81*(AW81+(2*$BI$1))</f>
        <v>32.4</v>
      </c>
      <c r="BN81" s="5">
        <f t="shared" si="87"/>
        <v>1.8801786622748684</v>
      </c>
      <c r="BO81" s="5">
        <f t="shared" si="88"/>
        <v>0</v>
      </c>
      <c r="BP81" s="5">
        <f t="shared" si="89"/>
        <v>0</v>
      </c>
      <c r="BQ81" s="5">
        <f t="shared" si="90"/>
        <v>0</v>
      </c>
      <c r="BR81" s="5">
        <f t="shared" si="91"/>
        <v>0</v>
      </c>
      <c r="BS81" s="163">
        <f t="shared" si="92"/>
        <v>0</v>
      </c>
      <c r="BT81" s="163">
        <f t="shared" si="93"/>
        <v>0</v>
      </c>
      <c r="BU81" s="163">
        <f t="shared" si="94"/>
        <v>0</v>
      </c>
      <c r="BV81" s="163">
        <f t="shared" si="95"/>
        <v>0</v>
      </c>
      <c r="BW81" s="163">
        <f t="shared" si="96"/>
        <v>0</v>
      </c>
      <c r="BX81" s="163">
        <f t="shared" si="97"/>
        <v>1</v>
      </c>
      <c r="BY81" s="163">
        <f t="shared" si="98"/>
        <v>0</v>
      </c>
      <c r="BZ81" s="163">
        <f t="shared" si="99"/>
        <v>0</v>
      </c>
      <c r="CA81" s="163">
        <f t="shared" si="100"/>
        <v>0</v>
      </c>
      <c r="CB81" s="163">
        <f t="shared" si="101"/>
        <v>0</v>
      </c>
      <c r="CC81" s="163">
        <f t="shared" si="120"/>
        <v>1</v>
      </c>
      <c r="CD81" s="163">
        <f t="shared" si="121"/>
        <v>0</v>
      </c>
      <c r="CE81" s="163">
        <f t="shared" si="122"/>
        <v>0</v>
      </c>
      <c r="CF81" s="163">
        <f t="shared" si="123"/>
        <v>0</v>
      </c>
      <c r="CG81" s="163">
        <f t="shared" si="124"/>
        <v>0</v>
      </c>
      <c r="CI81" s="167">
        <v>3.2</v>
      </c>
      <c r="CJ81" s="167">
        <v>2</v>
      </c>
      <c r="CK81" s="5">
        <f t="shared" si="140"/>
        <v>5.7200000000000006</v>
      </c>
      <c r="CL81" s="5">
        <f t="shared" si="125"/>
        <v>1.7</v>
      </c>
      <c r="CM81" s="5" t="str">
        <f t="shared" si="126"/>
        <v/>
      </c>
      <c r="CN81" s="5" t="str">
        <f t="shared" si="127"/>
        <v/>
      </c>
      <c r="CO81" s="5" t="str">
        <f t="shared" si="128"/>
        <v/>
      </c>
      <c r="CP81" s="5">
        <f t="shared" si="141"/>
        <v>1.5809999999999997</v>
      </c>
      <c r="CQ81" s="5" t="str">
        <f t="shared" si="129"/>
        <v/>
      </c>
      <c r="CR81" s="5" t="str">
        <f t="shared" si="130"/>
        <v/>
      </c>
      <c r="CS81" s="5" t="str">
        <f t="shared" si="131"/>
        <v/>
      </c>
      <c r="CT81" s="50">
        <f t="shared" si="132"/>
        <v>1</v>
      </c>
      <c r="CU81" s="50">
        <f t="shared" si="133"/>
        <v>0</v>
      </c>
      <c r="CV81" s="50">
        <f t="shared" si="134"/>
        <v>0</v>
      </c>
      <c r="CW81" s="50">
        <f t="shared" si="135"/>
        <v>0</v>
      </c>
      <c r="CX81" s="190">
        <f t="shared" si="142"/>
        <v>1</v>
      </c>
      <c r="CZ81" s="1">
        <v>1.9</v>
      </c>
      <c r="DA81" s="167">
        <f t="shared" si="136"/>
        <v>1.7</v>
      </c>
      <c r="DB81" s="1">
        <f>Alcantarillas!AX86</f>
        <v>11.4</v>
      </c>
      <c r="DC81" s="5">
        <f t="shared" si="137"/>
        <v>36.822000000000003</v>
      </c>
      <c r="DE81" s="172">
        <f t="shared" si="138"/>
        <v>0</v>
      </c>
      <c r="DF81" s="172">
        <f t="shared" si="139"/>
        <v>100.32000000000001</v>
      </c>
    </row>
    <row r="82" spans="14:110" x14ac:dyDescent="0.25">
      <c r="N82">
        <v>77</v>
      </c>
      <c r="O82" s="24">
        <f>Alcantarillas!E87</f>
        <v>22197</v>
      </c>
      <c r="P82" s="160">
        <f>IF(Alcantarillas!J87=1.2,1,0)</f>
        <v>0</v>
      </c>
      <c r="Q82" s="160">
        <f>IF(Alcantarillas!J87=1.3,1,0)</f>
        <v>0</v>
      </c>
      <c r="R82" s="160">
        <f>IF(Alcantarillas!J87=1.4,1,0)</f>
        <v>1</v>
      </c>
      <c r="S82" s="160">
        <f>IF(Alcantarillas!L87=1.2,1,0)</f>
        <v>0</v>
      </c>
      <c r="T82" s="160">
        <f>IF(Alcantarillas!L87=1.5,1,0)</f>
        <v>0</v>
      </c>
      <c r="V82" s="160">
        <f>IF(Alcantarillas!J87=1.2,Alcantarillas!AX87,0)</f>
        <v>0</v>
      </c>
      <c r="W82" s="160">
        <f>IF(Alcantarillas!J87=1.3,Alcantarillas!AX87,0)</f>
        <v>0</v>
      </c>
      <c r="X82" s="160">
        <f>IF(Alcantarillas!J87=1.4,Alcantarillas!AX87,0)</f>
        <v>16.25</v>
      </c>
      <c r="Y82" s="160">
        <f>IF(Alcantarillas!L87=1.2,Alcantarillas!AX87,0)</f>
        <v>0</v>
      </c>
      <c r="Z82" s="160">
        <f>IF(Alcantarillas!L87=1.5,Alcantarillas!AX87,0)</f>
        <v>0</v>
      </c>
      <c r="AB82" s="21">
        <v>2.2999999999999998</v>
      </c>
      <c r="AC82" s="5">
        <f t="shared" si="102"/>
        <v>2.4</v>
      </c>
      <c r="AD82" s="21">
        <v>0.2</v>
      </c>
      <c r="AE82" s="5">
        <f t="shared" si="103"/>
        <v>1.5393804002589984</v>
      </c>
      <c r="AF82" s="5">
        <f t="shared" si="104"/>
        <v>0.79612391994820031</v>
      </c>
      <c r="AG82" s="21">
        <v>2.12</v>
      </c>
      <c r="AH82" s="5">
        <f t="shared" si="105"/>
        <v>3.3778666666666659</v>
      </c>
      <c r="AI82" s="5">
        <f t="shared" si="106"/>
        <v>0.67557333333333325</v>
      </c>
      <c r="AJ82" s="5">
        <f t="shared" si="107"/>
        <v>5.4</v>
      </c>
      <c r="AK82" s="5">
        <f t="shared" si="108"/>
        <v>5.8500000000000005</v>
      </c>
      <c r="AL82" s="5">
        <f t="shared" si="109"/>
        <v>1.1700000000000002</v>
      </c>
      <c r="AM82" s="5">
        <f t="shared" si="110"/>
        <v>2.6416972532815337</v>
      </c>
      <c r="AO82" s="21">
        <v>1.7</v>
      </c>
      <c r="AP82" s="5">
        <f t="shared" si="111"/>
        <v>2.4</v>
      </c>
      <c r="AQ82" s="21">
        <v>0.2</v>
      </c>
      <c r="AR82" s="5">
        <f t="shared" si="112"/>
        <v>1.5393804002589984</v>
      </c>
      <c r="AS82" s="5">
        <f t="shared" si="113"/>
        <v>0.50812391994820039</v>
      </c>
      <c r="AT82" s="21">
        <v>2.12</v>
      </c>
      <c r="AU82" s="5">
        <f t="shared" si="114"/>
        <v>2.1058666666666666</v>
      </c>
      <c r="AV82" s="5">
        <f t="shared" si="115"/>
        <v>0.42117333333333334</v>
      </c>
      <c r="AW82" s="5">
        <f t="shared" si="116"/>
        <v>5.4</v>
      </c>
      <c r="AX82" s="5">
        <f t="shared" si="117"/>
        <v>5.8500000000000005</v>
      </c>
      <c r="AY82" s="5">
        <f t="shared" si="118"/>
        <v>1.1700000000000002</v>
      </c>
      <c r="AZ82" s="5">
        <f t="shared" si="119"/>
        <v>2.0992972532815339</v>
      </c>
      <c r="BB82" s="163">
        <v>15</v>
      </c>
      <c r="BC82" s="118">
        <f t="shared" ref="BC82:BC110" si="144">1.5*1*BB82</f>
        <v>22.5</v>
      </c>
      <c r="BD82" s="118">
        <f t="shared" si="143"/>
        <v>166.5</v>
      </c>
      <c r="BE82" s="167">
        <v>13.5</v>
      </c>
      <c r="BF82" s="118">
        <f t="shared" ref="BF82:BF110" si="145">BE82*(AW82+(2*$BC$1))</f>
        <v>99.9</v>
      </c>
      <c r="BG82" s="183"/>
      <c r="BH82" s="163"/>
      <c r="BI82" s="167"/>
      <c r="BJ82" s="167"/>
      <c r="BK82" s="167"/>
      <c r="BL82" s="167"/>
      <c r="BN82" s="5">
        <f t="shared" si="87"/>
        <v>0</v>
      </c>
      <c r="BO82" s="5">
        <f t="shared" si="88"/>
        <v>0</v>
      </c>
      <c r="BP82" s="5">
        <f t="shared" si="89"/>
        <v>4.7409945065630676</v>
      </c>
      <c r="BQ82" s="5">
        <f t="shared" si="90"/>
        <v>0</v>
      </c>
      <c r="BR82" s="5">
        <f t="shared" si="91"/>
        <v>0</v>
      </c>
      <c r="BS82" s="163">
        <f t="shared" si="92"/>
        <v>0</v>
      </c>
      <c r="BT82" s="163">
        <f t="shared" si="93"/>
        <v>0</v>
      </c>
      <c r="BU82" s="163">
        <f t="shared" si="94"/>
        <v>1</v>
      </c>
      <c r="BV82" s="163">
        <f t="shared" si="95"/>
        <v>0</v>
      </c>
      <c r="BW82" s="163">
        <f t="shared" si="96"/>
        <v>0</v>
      </c>
      <c r="BX82" s="163">
        <f t="shared" si="97"/>
        <v>0</v>
      </c>
      <c r="BY82" s="163">
        <f t="shared" si="98"/>
        <v>0</v>
      </c>
      <c r="BZ82" s="163">
        <f t="shared" si="99"/>
        <v>1</v>
      </c>
      <c r="CA82" s="163">
        <f t="shared" si="100"/>
        <v>0</v>
      </c>
      <c r="CB82" s="163">
        <f t="shared" si="101"/>
        <v>0</v>
      </c>
      <c r="CC82" s="163">
        <f t="shared" si="120"/>
        <v>0</v>
      </c>
      <c r="CD82" s="163">
        <f t="shared" si="121"/>
        <v>0</v>
      </c>
      <c r="CE82" s="163">
        <f t="shared" si="122"/>
        <v>2</v>
      </c>
      <c r="CF82" s="163">
        <f t="shared" si="123"/>
        <v>0</v>
      </c>
      <c r="CG82" s="163">
        <f t="shared" si="124"/>
        <v>0</v>
      </c>
      <c r="CI82" s="167"/>
      <c r="CJ82" s="167"/>
      <c r="CK82" s="5"/>
      <c r="CL82" s="5" t="str">
        <f t="shared" si="125"/>
        <v/>
      </c>
      <c r="CM82" s="5"/>
      <c r="CN82" s="5" t="str">
        <f t="shared" si="127"/>
        <v/>
      </c>
      <c r="CO82" s="5" t="str">
        <f t="shared" si="128"/>
        <v/>
      </c>
      <c r="CP82" s="5" t="str">
        <f t="shared" si="141"/>
        <v/>
      </c>
      <c r="CQ82" s="5" t="str">
        <f t="shared" si="129"/>
        <v/>
      </c>
      <c r="CR82" s="5" t="str">
        <f t="shared" si="130"/>
        <v/>
      </c>
      <c r="CS82" s="5" t="str">
        <f t="shared" si="131"/>
        <v/>
      </c>
      <c r="CT82" s="50">
        <f t="shared" si="132"/>
        <v>0</v>
      </c>
      <c r="CU82" s="50">
        <f t="shared" si="133"/>
        <v>0</v>
      </c>
      <c r="CV82" s="50">
        <f t="shared" si="134"/>
        <v>0</v>
      </c>
      <c r="CW82" s="50">
        <f t="shared" si="135"/>
        <v>0</v>
      </c>
      <c r="CX82" s="190">
        <f t="shared" si="142"/>
        <v>0</v>
      </c>
      <c r="CZ82" s="1">
        <v>3.7</v>
      </c>
      <c r="DA82" s="167">
        <f t="shared" si="136"/>
        <v>1.9</v>
      </c>
      <c r="DB82" s="1">
        <f>Alcantarillas!AX87</f>
        <v>16.25</v>
      </c>
      <c r="DC82" s="5">
        <f t="shared" si="137"/>
        <v>114.2375</v>
      </c>
      <c r="DE82" s="172">
        <f t="shared" si="138"/>
        <v>600</v>
      </c>
      <c r="DF82" s="172">
        <f t="shared" si="139"/>
        <v>0</v>
      </c>
    </row>
    <row r="83" spans="14:110" x14ac:dyDescent="0.25">
      <c r="N83">
        <v>78</v>
      </c>
      <c r="O83" s="24">
        <f>Alcantarillas!E88</f>
        <v>22325.8</v>
      </c>
      <c r="P83" s="160">
        <f>IF(Alcantarillas!J88=1.2,1,0)</f>
        <v>1</v>
      </c>
      <c r="Q83" s="160">
        <f>IF(Alcantarillas!J88=1.3,1,0)</f>
        <v>0</v>
      </c>
      <c r="R83" s="160">
        <f>IF(Alcantarillas!J88=1.4,1,0)</f>
        <v>0</v>
      </c>
      <c r="S83" s="160">
        <f>IF(Alcantarillas!L88=1.2,1,0)</f>
        <v>0</v>
      </c>
      <c r="T83" s="160">
        <f>IF(Alcantarillas!L88=1.5,1,0)</f>
        <v>0</v>
      </c>
      <c r="V83" s="160">
        <f>IF(Alcantarillas!J88=1.2,Alcantarillas!AX88,0)</f>
        <v>22.25</v>
      </c>
      <c r="W83" s="160">
        <f>IF(Alcantarillas!J88=1.3,Alcantarillas!AX88,0)</f>
        <v>0</v>
      </c>
      <c r="X83" s="160">
        <f>IF(Alcantarillas!J88=1.4,Alcantarillas!AX88,0)</f>
        <v>0</v>
      </c>
      <c r="Y83" s="160">
        <f>IF(Alcantarillas!L88=1.2,Alcantarillas!AX88,0)</f>
        <v>0</v>
      </c>
      <c r="Z83" s="160">
        <f>IF(Alcantarillas!L88=1.5,Alcantarillas!AX88,0)</f>
        <v>0</v>
      </c>
      <c r="AB83" s="21">
        <v>1.9</v>
      </c>
      <c r="AC83" s="5">
        <f t="shared" si="102"/>
        <v>2.2000000000000002</v>
      </c>
      <c r="AD83" s="21">
        <v>0.2</v>
      </c>
      <c r="AE83" s="5">
        <f t="shared" si="103"/>
        <v>1.1309733552923256</v>
      </c>
      <c r="AF83" s="5">
        <f t="shared" si="104"/>
        <v>0.60980532894153494</v>
      </c>
      <c r="AG83" s="21">
        <v>2.12</v>
      </c>
      <c r="AH83" s="5">
        <f t="shared" si="105"/>
        <v>2.529866666666666</v>
      </c>
      <c r="AI83" s="5">
        <f t="shared" si="106"/>
        <v>0.50597333333333327</v>
      </c>
      <c r="AJ83" s="5">
        <f t="shared" si="107"/>
        <v>5.2</v>
      </c>
      <c r="AK83" s="5">
        <f t="shared" si="108"/>
        <v>5.5500000000000007</v>
      </c>
      <c r="AL83" s="5">
        <f t="shared" si="109"/>
        <v>1.1100000000000001</v>
      </c>
      <c r="AM83" s="5">
        <f t="shared" si="110"/>
        <v>2.2257786622748683</v>
      </c>
      <c r="AO83" s="21">
        <v>1.6</v>
      </c>
      <c r="AP83" s="5">
        <f t="shared" si="111"/>
        <v>2.2000000000000002</v>
      </c>
      <c r="AQ83" s="21">
        <v>0.2</v>
      </c>
      <c r="AR83" s="5">
        <f t="shared" si="112"/>
        <v>1.1309733552923256</v>
      </c>
      <c r="AS83" s="5">
        <f t="shared" si="113"/>
        <v>0.47780532894153505</v>
      </c>
      <c r="AT83" s="21">
        <v>2.12</v>
      </c>
      <c r="AU83" s="5">
        <f t="shared" si="114"/>
        <v>1.893866666666667</v>
      </c>
      <c r="AV83" s="5">
        <f t="shared" si="115"/>
        <v>0.37877333333333341</v>
      </c>
      <c r="AW83" s="5">
        <f t="shared" si="116"/>
        <v>5.2</v>
      </c>
      <c r="AX83" s="5">
        <f t="shared" si="117"/>
        <v>5.5500000000000007</v>
      </c>
      <c r="AY83" s="5">
        <f t="shared" si="118"/>
        <v>1.1100000000000001</v>
      </c>
      <c r="AZ83" s="5">
        <f t="shared" si="119"/>
        <v>1.9665786622748684</v>
      </c>
      <c r="BB83" s="163">
        <v>29</v>
      </c>
      <c r="BC83" s="118">
        <f t="shared" si="144"/>
        <v>43.5</v>
      </c>
      <c r="BD83" s="118">
        <f t="shared" si="143"/>
        <v>313.2</v>
      </c>
      <c r="BE83" s="167">
        <v>21.3</v>
      </c>
      <c r="BF83" s="118">
        <f t="shared" si="145"/>
        <v>153.36000000000001</v>
      </c>
      <c r="BG83" s="183"/>
      <c r="BH83" s="163"/>
      <c r="BI83" s="167"/>
      <c r="BJ83" s="167"/>
      <c r="BK83" s="167"/>
      <c r="BL83" s="167"/>
      <c r="BN83" s="5">
        <f t="shared" si="87"/>
        <v>4.1923573245497368</v>
      </c>
      <c r="BO83" s="5">
        <f t="shared" si="88"/>
        <v>0</v>
      </c>
      <c r="BP83" s="5">
        <f t="shared" si="89"/>
        <v>0</v>
      </c>
      <c r="BQ83" s="5">
        <f t="shared" si="90"/>
        <v>0</v>
      </c>
      <c r="BR83" s="5">
        <f t="shared" si="91"/>
        <v>0</v>
      </c>
      <c r="BS83" s="163">
        <f t="shared" si="92"/>
        <v>1</v>
      </c>
      <c r="BT83" s="163">
        <f t="shared" si="93"/>
        <v>0</v>
      </c>
      <c r="BU83" s="163">
        <f t="shared" si="94"/>
        <v>0</v>
      </c>
      <c r="BV83" s="163">
        <f t="shared" si="95"/>
        <v>0</v>
      </c>
      <c r="BW83" s="163">
        <f t="shared" si="96"/>
        <v>0</v>
      </c>
      <c r="BX83" s="163">
        <f t="shared" si="97"/>
        <v>1</v>
      </c>
      <c r="BY83" s="163">
        <f t="shared" si="98"/>
        <v>0</v>
      </c>
      <c r="BZ83" s="163">
        <f t="shared" si="99"/>
        <v>0</v>
      </c>
      <c r="CA83" s="163">
        <f t="shared" si="100"/>
        <v>0</v>
      </c>
      <c r="CB83" s="163">
        <f t="shared" si="101"/>
        <v>0</v>
      </c>
      <c r="CC83" s="163">
        <f t="shared" si="120"/>
        <v>2</v>
      </c>
      <c r="CD83" s="163">
        <f t="shared" si="121"/>
        <v>0</v>
      </c>
      <c r="CE83" s="163">
        <f t="shared" si="122"/>
        <v>0</v>
      </c>
      <c r="CF83" s="163">
        <f t="shared" si="123"/>
        <v>0</v>
      </c>
      <c r="CG83" s="163">
        <f t="shared" si="124"/>
        <v>0</v>
      </c>
      <c r="CI83" s="167"/>
      <c r="CJ83" s="167"/>
      <c r="CK83" s="5"/>
      <c r="CL83" s="5"/>
      <c r="CM83" s="5" t="str">
        <f t="shared" si="126"/>
        <v/>
      </c>
      <c r="CN83" s="5" t="str">
        <f t="shared" si="127"/>
        <v/>
      </c>
      <c r="CO83" s="5" t="str">
        <f t="shared" si="128"/>
        <v/>
      </c>
      <c r="CP83" s="5" t="str">
        <f t="shared" si="141"/>
        <v/>
      </c>
      <c r="CQ83" s="5" t="str">
        <f t="shared" si="129"/>
        <v/>
      </c>
      <c r="CR83" s="5" t="str">
        <f t="shared" si="130"/>
        <v/>
      </c>
      <c r="CS83" s="5" t="str">
        <f t="shared" si="131"/>
        <v/>
      </c>
      <c r="CT83" s="50">
        <f t="shared" si="132"/>
        <v>0</v>
      </c>
      <c r="CU83" s="50">
        <f t="shared" si="133"/>
        <v>0</v>
      </c>
      <c r="CV83" s="50">
        <f t="shared" si="134"/>
        <v>0</v>
      </c>
      <c r="CW83" s="50">
        <f t="shared" si="135"/>
        <v>0</v>
      </c>
      <c r="CX83" s="190">
        <f t="shared" si="142"/>
        <v>0</v>
      </c>
      <c r="CZ83" s="1">
        <v>4.95</v>
      </c>
      <c r="DA83" s="167">
        <f t="shared" si="136"/>
        <v>1.7</v>
      </c>
      <c r="DB83" s="1">
        <f>Alcantarillas!AX88</f>
        <v>22.25</v>
      </c>
      <c r="DC83" s="5">
        <f t="shared" si="137"/>
        <v>187.23375000000001</v>
      </c>
      <c r="DE83" s="172">
        <f t="shared" si="138"/>
        <v>1131</v>
      </c>
      <c r="DF83" s="172">
        <f t="shared" si="139"/>
        <v>0</v>
      </c>
    </row>
    <row r="84" spans="14:110" x14ac:dyDescent="0.25">
      <c r="N84">
        <v>79</v>
      </c>
      <c r="O84" s="24">
        <f>Alcantarillas!E89</f>
        <v>22420</v>
      </c>
      <c r="P84" s="160">
        <f>IF(Alcantarillas!J89=1.2,1,0)</f>
        <v>1</v>
      </c>
      <c r="Q84" s="160">
        <f>IF(Alcantarillas!J89=1.3,1,0)</f>
        <v>0</v>
      </c>
      <c r="R84" s="160">
        <f>IF(Alcantarillas!J89=1.4,1,0)</f>
        <v>0</v>
      </c>
      <c r="S84" s="160">
        <f>IF(Alcantarillas!L89=1.2,1,0)</f>
        <v>0</v>
      </c>
      <c r="T84" s="160">
        <f>IF(Alcantarillas!L89=1.5,1,0)</f>
        <v>0</v>
      </c>
      <c r="V84" s="160">
        <f>IF(Alcantarillas!J89=1.2,Alcantarillas!AX89,0)</f>
        <v>30.5</v>
      </c>
      <c r="W84" s="160">
        <f>IF(Alcantarillas!J89=1.3,Alcantarillas!AX89,0)</f>
        <v>0</v>
      </c>
      <c r="X84" s="160">
        <f>IF(Alcantarillas!J89=1.4,Alcantarillas!AX89,0)</f>
        <v>0</v>
      </c>
      <c r="Y84" s="160">
        <f>IF(Alcantarillas!L89=1.2,Alcantarillas!AX89,0)</f>
        <v>0</v>
      </c>
      <c r="Z84" s="160">
        <f>IF(Alcantarillas!L89=1.5,Alcantarillas!AX89,0)</f>
        <v>0</v>
      </c>
      <c r="AB84" s="21">
        <v>2.1</v>
      </c>
      <c r="AC84" s="5">
        <f t="shared" si="102"/>
        <v>2.2000000000000002</v>
      </c>
      <c r="AD84" s="21">
        <v>0.2</v>
      </c>
      <c r="AE84" s="5">
        <f t="shared" si="103"/>
        <v>1.1309733552923256</v>
      </c>
      <c r="AF84" s="5">
        <f t="shared" si="104"/>
        <v>0.69780532894153513</v>
      </c>
      <c r="AG84" s="21">
        <v>2.12</v>
      </c>
      <c r="AH84" s="5">
        <f t="shared" si="105"/>
        <v>2.9538666666666673</v>
      </c>
      <c r="AI84" s="5">
        <f t="shared" si="106"/>
        <v>0.59077333333333348</v>
      </c>
      <c r="AJ84" s="5">
        <f t="shared" si="107"/>
        <v>5.2</v>
      </c>
      <c r="AK84" s="5">
        <f t="shared" si="108"/>
        <v>5.5500000000000007</v>
      </c>
      <c r="AL84" s="5">
        <f t="shared" si="109"/>
        <v>1.1100000000000001</v>
      </c>
      <c r="AM84" s="5">
        <f t="shared" si="110"/>
        <v>2.3985786622748684</v>
      </c>
      <c r="AO84" s="21">
        <v>1.9</v>
      </c>
      <c r="AP84" s="5">
        <f t="shared" si="111"/>
        <v>2.2000000000000002</v>
      </c>
      <c r="AQ84" s="21">
        <v>0.2</v>
      </c>
      <c r="AR84" s="5">
        <f t="shared" si="112"/>
        <v>1.1309733552923256</v>
      </c>
      <c r="AS84" s="5">
        <f t="shared" si="113"/>
        <v>0.60980532894153494</v>
      </c>
      <c r="AT84" s="21">
        <v>2.12</v>
      </c>
      <c r="AU84" s="5">
        <f t="shared" si="114"/>
        <v>2.529866666666666</v>
      </c>
      <c r="AV84" s="5">
        <f t="shared" si="115"/>
        <v>0.50597333333333327</v>
      </c>
      <c r="AW84" s="5">
        <f t="shared" si="116"/>
        <v>5.2</v>
      </c>
      <c r="AX84" s="5">
        <f t="shared" si="117"/>
        <v>5.5500000000000007</v>
      </c>
      <c r="AY84" s="5">
        <f t="shared" si="118"/>
        <v>1.1100000000000001</v>
      </c>
      <c r="AZ84" s="5">
        <f t="shared" si="119"/>
        <v>2.2257786622748683</v>
      </c>
      <c r="BB84" s="163">
        <v>33</v>
      </c>
      <c r="BC84" s="118">
        <f t="shared" si="144"/>
        <v>49.5</v>
      </c>
      <c r="BD84" s="118">
        <f t="shared" si="143"/>
        <v>356.40000000000003</v>
      </c>
      <c r="BE84" s="167">
        <v>22</v>
      </c>
      <c r="BF84" s="118">
        <f t="shared" si="145"/>
        <v>158.4</v>
      </c>
      <c r="BG84" s="183"/>
      <c r="BH84" s="163"/>
      <c r="BI84" s="167"/>
      <c r="BJ84" s="167"/>
      <c r="BK84" s="167"/>
      <c r="BL84" s="167"/>
      <c r="BN84" s="5">
        <f t="shared" si="87"/>
        <v>4.6243573245497362</v>
      </c>
      <c r="BO84" s="5">
        <f t="shared" si="88"/>
        <v>0</v>
      </c>
      <c r="BP84" s="5">
        <f t="shared" si="89"/>
        <v>0</v>
      </c>
      <c r="BQ84" s="5">
        <f t="shared" si="90"/>
        <v>0</v>
      </c>
      <c r="BR84" s="5">
        <f t="shared" si="91"/>
        <v>0</v>
      </c>
      <c r="BS84" s="163">
        <f t="shared" si="92"/>
        <v>1</v>
      </c>
      <c r="BT84" s="163">
        <f t="shared" si="93"/>
        <v>0</v>
      </c>
      <c r="BU84" s="163">
        <f t="shared" si="94"/>
        <v>0</v>
      </c>
      <c r="BV84" s="163">
        <f t="shared" si="95"/>
        <v>0</v>
      </c>
      <c r="BW84" s="163">
        <f t="shared" si="96"/>
        <v>0</v>
      </c>
      <c r="BX84" s="163">
        <f t="shared" si="97"/>
        <v>1</v>
      </c>
      <c r="BY84" s="163">
        <f t="shared" si="98"/>
        <v>0</v>
      </c>
      <c r="BZ84" s="163">
        <f t="shared" si="99"/>
        <v>0</v>
      </c>
      <c r="CA84" s="163">
        <f t="shared" si="100"/>
        <v>0</v>
      </c>
      <c r="CB84" s="163">
        <f t="shared" si="101"/>
        <v>0</v>
      </c>
      <c r="CC84" s="163">
        <f t="shared" si="120"/>
        <v>2</v>
      </c>
      <c r="CD84" s="163">
        <f t="shared" si="121"/>
        <v>0</v>
      </c>
      <c r="CE84" s="163">
        <f t="shared" si="122"/>
        <v>0</v>
      </c>
      <c r="CF84" s="163">
        <f t="shared" si="123"/>
        <v>0</v>
      </c>
      <c r="CG84" s="163">
        <f t="shared" si="124"/>
        <v>0</v>
      </c>
      <c r="CI84" s="167"/>
      <c r="CJ84" s="167"/>
      <c r="CK84" s="5"/>
      <c r="CL84" s="5"/>
      <c r="CM84" s="5" t="str">
        <f t="shared" si="126"/>
        <v/>
      </c>
      <c r="CN84" s="5" t="str">
        <f t="shared" si="127"/>
        <v/>
      </c>
      <c r="CO84" s="5" t="str">
        <f t="shared" si="128"/>
        <v/>
      </c>
      <c r="CP84" s="5" t="str">
        <f t="shared" si="141"/>
        <v/>
      </c>
      <c r="CQ84" s="5" t="str">
        <f t="shared" si="129"/>
        <v/>
      </c>
      <c r="CR84" s="5" t="str">
        <f t="shared" si="130"/>
        <v/>
      </c>
      <c r="CS84" s="5" t="str">
        <f t="shared" si="131"/>
        <v/>
      </c>
      <c r="CT84" s="50">
        <f t="shared" si="132"/>
        <v>0</v>
      </c>
      <c r="CU84" s="50">
        <f t="shared" si="133"/>
        <v>0</v>
      </c>
      <c r="CV84" s="50">
        <f t="shared" si="134"/>
        <v>0</v>
      </c>
      <c r="CW84" s="50">
        <f t="shared" si="135"/>
        <v>0</v>
      </c>
      <c r="CX84" s="190">
        <f t="shared" si="142"/>
        <v>0</v>
      </c>
      <c r="CZ84" s="1">
        <v>7.1</v>
      </c>
      <c r="DA84" s="167">
        <f t="shared" si="136"/>
        <v>1.7</v>
      </c>
      <c r="DB84" s="1">
        <f>Alcantarillas!AX89</f>
        <v>30.5</v>
      </c>
      <c r="DC84" s="5">
        <f t="shared" si="137"/>
        <v>368.13499999999993</v>
      </c>
      <c r="DE84" s="172">
        <f t="shared" si="138"/>
        <v>1287</v>
      </c>
      <c r="DF84" s="172">
        <f t="shared" si="139"/>
        <v>0</v>
      </c>
    </row>
    <row r="85" spans="14:110" x14ac:dyDescent="0.25">
      <c r="N85">
        <v>80</v>
      </c>
      <c r="O85" s="24">
        <f>Alcantarillas!E90</f>
        <v>22527.200000000001</v>
      </c>
      <c r="P85" s="160">
        <f>IF(Alcantarillas!J90=1.2,1,0)</f>
        <v>1</v>
      </c>
      <c r="Q85" s="160">
        <f>IF(Alcantarillas!J90=1.3,1,0)</f>
        <v>0</v>
      </c>
      <c r="R85" s="160">
        <f>IF(Alcantarillas!J90=1.4,1,0)</f>
        <v>0</v>
      </c>
      <c r="S85" s="160">
        <f>IF(Alcantarillas!L90=1.2,1,0)</f>
        <v>0</v>
      </c>
      <c r="T85" s="160">
        <f>IF(Alcantarillas!L90=1.5,1,0)</f>
        <v>0</v>
      </c>
      <c r="V85" s="160">
        <f>IF(Alcantarillas!J90=1.2,Alcantarillas!AX90,0)</f>
        <v>30.25</v>
      </c>
      <c r="W85" s="160">
        <f>IF(Alcantarillas!J90=1.3,Alcantarillas!AX90,0)</f>
        <v>0</v>
      </c>
      <c r="X85" s="160">
        <f>IF(Alcantarillas!J90=1.4,Alcantarillas!AX90,0)</f>
        <v>0</v>
      </c>
      <c r="Y85" s="160">
        <f>IF(Alcantarillas!L90=1.2,Alcantarillas!AX90,0)</f>
        <v>0</v>
      </c>
      <c r="Z85" s="160">
        <f>IF(Alcantarillas!L90=1.5,Alcantarillas!AX90,0)</f>
        <v>0</v>
      </c>
      <c r="AB85" s="21">
        <v>2.9</v>
      </c>
      <c r="AC85" s="5">
        <f t="shared" si="102"/>
        <v>2.2000000000000002</v>
      </c>
      <c r="AD85" s="21">
        <v>0.2</v>
      </c>
      <c r="AE85" s="5">
        <f t="shared" si="103"/>
        <v>1.1309733552923256</v>
      </c>
      <c r="AF85" s="5">
        <f t="shared" si="104"/>
        <v>1.049805328941535</v>
      </c>
      <c r="AG85" s="21">
        <v>2.12</v>
      </c>
      <c r="AH85" s="5">
        <f t="shared" si="105"/>
        <v>4.6498666666666661</v>
      </c>
      <c r="AI85" s="5">
        <f t="shared" si="106"/>
        <v>0.92997333333333332</v>
      </c>
      <c r="AJ85" s="5">
        <f t="shared" si="107"/>
        <v>5.2</v>
      </c>
      <c r="AK85" s="5">
        <f t="shared" si="108"/>
        <v>5.5500000000000007</v>
      </c>
      <c r="AL85" s="5">
        <f t="shared" si="109"/>
        <v>1.1100000000000001</v>
      </c>
      <c r="AM85" s="5">
        <f t="shared" si="110"/>
        <v>3.0897786622748686</v>
      </c>
      <c r="AO85" s="21">
        <v>1.7</v>
      </c>
      <c r="AP85" s="5">
        <f t="shared" si="111"/>
        <v>2.2000000000000002</v>
      </c>
      <c r="AQ85" s="21">
        <v>0.2</v>
      </c>
      <c r="AR85" s="5">
        <f t="shared" si="112"/>
        <v>1.1309733552923256</v>
      </c>
      <c r="AS85" s="5">
        <f t="shared" si="113"/>
        <v>0.52180532894153497</v>
      </c>
      <c r="AT85" s="21">
        <v>2.12</v>
      </c>
      <c r="AU85" s="5">
        <f t="shared" si="114"/>
        <v>2.1058666666666666</v>
      </c>
      <c r="AV85" s="5">
        <f t="shared" si="115"/>
        <v>0.42117333333333334</v>
      </c>
      <c r="AW85" s="5">
        <f t="shared" si="116"/>
        <v>5.2</v>
      </c>
      <c r="AX85" s="5">
        <f t="shared" si="117"/>
        <v>5.5500000000000007</v>
      </c>
      <c r="AY85" s="5">
        <f t="shared" si="118"/>
        <v>1.1100000000000001</v>
      </c>
      <c r="AZ85" s="5">
        <f t="shared" si="119"/>
        <v>2.0529786622748682</v>
      </c>
      <c r="BB85" s="163">
        <v>33</v>
      </c>
      <c r="BC85" s="118">
        <f t="shared" si="144"/>
        <v>49.5</v>
      </c>
      <c r="BD85" s="118">
        <f t="shared" si="143"/>
        <v>356.40000000000003</v>
      </c>
      <c r="BE85" s="167">
        <v>21</v>
      </c>
      <c r="BF85" s="118">
        <f t="shared" si="145"/>
        <v>151.20000000000002</v>
      </c>
      <c r="BG85" s="183"/>
      <c r="BH85" s="163"/>
      <c r="BI85" s="167"/>
      <c r="BJ85" s="167"/>
      <c r="BK85" s="167"/>
      <c r="BL85" s="167"/>
      <c r="BN85" s="5">
        <f t="shared" si="87"/>
        <v>5.1427573245497369</v>
      </c>
      <c r="BO85" s="5">
        <f t="shared" si="88"/>
        <v>0</v>
      </c>
      <c r="BP85" s="5">
        <f t="shared" si="89"/>
        <v>0</v>
      </c>
      <c r="BQ85" s="5">
        <f t="shared" si="90"/>
        <v>0</v>
      </c>
      <c r="BR85" s="5">
        <f t="shared" si="91"/>
        <v>0</v>
      </c>
      <c r="BS85" s="163">
        <f t="shared" si="92"/>
        <v>1</v>
      </c>
      <c r="BT85" s="163">
        <f t="shared" si="93"/>
        <v>0</v>
      </c>
      <c r="BU85" s="163">
        <f t="shared" si="94"/>
        <v>0</v>
      </c>
      <c r="BV85" s="163">
        <f t="shared" si="95"/>
        <v>0</v>
      </c>
      <c r="BW85" s="163">
        <f t="shared" si="96"/>
        <v>0</v>
      </c>
      <c r="BX85" s="163">
        <f t="shared" si="97"/>
        <v>1</v>
      </c>
      <c r="BY85" s="163">
        <f t="shared" si="98"/>
        <v>0</v>
      </c>
      <c r="BZ85" s="163">
        <f t="shared" si="99"/>
        <v>0</v>
      </c>
      <c r="CA85" s="163">
        <f t="shared" si="100"/>
        <v>0</v>
      </c>
      <c r="CB85" s="163">
        <f t="shared" si="101"/>
        <v>0</v>
      </c>
      <c r="CC85" s="163">
        <f t="shared" si="120"/>
        <v>2</v>
      </c>
      <c r="CD85" s="163">
        <f t="shared" si="121"/>
        <v>0</v>
      </c>
      <c r="CE85" s="163">
        <f t="shared" si="122"/>
        <v>0</v>
      </c>
      <c r="CF85" s="163">
        <f t="shared" si="123"/>
        <v>0</v>
      </c>
      <c r="CG85" s="163">
        <f t="shared" si="124"/>
        <v>0</v>
      </c>
      <c r="CI85" s="167"/>
      <c r="CJ85" s="167"/>
      <c r="CK85" s="5"/>
      <c r="CL85" s="5"/>
      <c r="CM85" s="5" t="str">
        <f t="shared" si="126"/>
        <v/>
      </c>
      <c r="CN85" s="5" t="str">
        <f t="shared" si="127"/>
        <v/>
      </c>
      <c r="CO85" s="5" t="str">
        <f t="shared" si="128"/>
        <v/>
      </c>
      <c r="CP85" s="5" t="str">
        <f t="shared" si="141"/>
        <v/>
      </c>
      <c r="CQ85" s="5" t="str">
        <f t="shared" si="129"/>
        <v/>
      </c>
      <c r="CR85" s="5" t="str">
        <f t="shared" si="130"/>
        <v/>
      </c>
      <c r="CS85" s="5" t="str">
        <f t="shared" si="131"/>
        <v/>
      </c>
      <c r="CT85" s="50">
        <f t="shared" si="132"/>
        <v>0</v>
      </c>
      <c r="CU85" s="50">
        <f t="shared" si="133"/>
        <v>0</v>
      </c>
      <c r="CV85" s="50">
        <f t="shared" si="134"/>
        <v>0</v>
      </c>
      <c r="CW85" s="50">
        <f t="shared" si="135"/>
        <v>0</v>
      </c>
      <c r="CX85" s="190">
        <f t="shared" si="142"/>
        <v>0</v>
      </c>
      <c r="CZ85" s="1">
        <v>6.75</v>
      </c>
      <c r="DA85" s="167">
        <f t="shared" si="136"/>
        <v>1.7</v>
      </c>
      <c r="DB85" s="1">
        <f>Alcantarillas!AX90</f>
        <v>30.25</v>
      </c>
      <c r="DC85" s="5">
        <f t="shared" si="137"/>
        <v>347.11874999999998</v>
      </c>
      <c r="DE85" s="172">
        <f t="shared" si="138"/>
        <v>1287</v>
      </c>
      <c r="DF85" s="172">
        <f t="shared" si="139"/>
        <v>0</v>
      </c>
    </row>
    <row r="86" spans="14:110" x14ac:dyDescent="0.25">
      <c r="N86">
        <v>81</v>
      </c>
      <c r="O86" s="24">
        <f>Alcantarillas!E91</f>
        <v>22649.1</v>
      </c>
      <c r="P86" s="160">
        <f>IF(Alcantarillas!J91=1.2,1,0)</f>
        <v>0</v>
      </c>
      <c r="Q86" s="160">
        <f>IF(Alcantarillas!J91=1.3,1,0)</f>
        <v>0</v>
      </c>
      <c r="R86" s="160">
        <f>IF(Alcantarillas!J91=1.4,1,0)</f>
        <v>0</v>
      </c>
      <c r="S86" s="160">
        <f>IF(Alcantarillas!L91=1.2,1,0)</f>
        <v>1</v>
      </c>
      <c r="T86" s="160">
        <f>IF(Alcantarillas!L91=1.5,1,0)</f>
        <v>0</v>
      </c>
      <c r="V86" s="160">
        <f>IF(Alcantarillas!J91=1.2,Alcantarillas!AX91,0)</f>
        <v>0</v>
      </c>
      <c r="W86" s="160">
        <f>IF(Alcantarillas!J91=1.3,Alcantarillas!AX91,0)</f>
        <v>0</v>
      </c>
      <c r="X86" s="160">
        <f>IF(Alcantarillas!J91=1.4,Alcantarillas!AX91,0)</f>
        <v>0</v>
      </c>
      <c r="Y86" s="160">
        <f>IF(Alcantarillas!L91=1.2,Alcantarillas!AX91,0)</f>
        <v>17.05</v>
      </c>
      <c r="Z86" s="160">
        <f>IF(Alcantarillas!L91=1.5,Alcantarillas!AX91,0)</f>
        <v>0</v>
      </c>
      <c r="AB86" s="21">
        <v>1.7</v>
      </c>
      <c r="AC86" s="5">
        <f t="shared" si="102"/>
        <v>2.2000000000000002</v>
      </c>
      <c r="AD86" s="21">
        <v>0.2</v>
      </c>
      <c r="AE86" s="5">
        <f t="shared" si="103"/>
        <v>1.44</v>
      </c>
      <c r="AF86" s="5">
        <f t="shared" si="104"/>
        <v>0.46000000000000008</v>
      </c>
      <c r="AG86" s="21">
        <v>2.12</v>
      </c>
      <c r="AH86" s="5">
        <f t="shared" si="105"/>
        <v>2.1058666666666666</v>
      </c>
      <c r="AI86" s="5">
        <f t="shared" si="106"/>
        <v>0.42117333333333334</v>
      </c>
      <c r="AJ86" s="5">
        <f t="shared" si="107"/>
        <v>5.2</v>
      </c>
      <c r="AK86" s="5">
        <f t="shared" si="108"/>
        <v>5.5500000000000007</v>
      </c>
      <c r="AL86" s="5">
        <f t="shared" si="109"/>
        <v>1.1100000000000001</v>
      </c>
      <c r="AM86" s="5">
        <f t="shared" si="110"/>
        <v>1.9911733333333335</v>
      </c>
      <c r="AO86" s="21">
        <v>1.7</v>
      </c>
      <c r="AP86" s="5">
        <f t="shared" si="111"/>
        <v>2.2000000000000002</v>
      </c>
      <c r="AQ86" s="21">
        <v>0.2</v>
      </c>
      <c r="AR86" s="5">
        <f t="shared" si="112"/>
        <v>1.44</v>
      </c>
      <c r="AS86" s="5">
        <f t="shared" si="113"/>
        <v>0.46000000000000008</v>
      </c>
      <c r="AT86" s="21">
        <v>2.12</v>
      </c>
      <c r="AU86" s="5">
        <f t="shared" si="114"/>
        <v>2.1058666666666666</v>
      </c>
      <c r="AV86" s="5">
        <f t="shared" si="115"/>
        <v>0.42117333333333334</v>
      </c>
      <c r="AW86" s="5">
        <f t="shared" si="116"/>
        <v>5.2</v>
      </c>
      <c r="AX86" s="5">
        <f t="shared" si="117"/>
        <v>5.5500000000000007</v>
      </c>
      <c r="AY86" s="5">
        <f t="shared" si="118"/>
        <v>1.1100000000000001</v>
      </c>
      <c r="AZ86" s="5">
        <f t="shared" si="119"/>
        <v>1.9911733333333335</v>
      </c>
      <c r="BB86" s="163">
        <v>14</v>
      </c>
      <c r="BC86" s="118">
        <f t="shared" si="144"/>
        <v>21</v>
      </c>
      <c r="BD86" s="118">
        <f t="shared" si="143"/>
        <v>151.20000000000002</v>
      </c>
      <c r="BE86" s="167">
        <v>12</v>
      </c>
      <c r="BF86" s="118">
        <f t="shared" si="145"/>
        <v>86.4</v>
      </c>
      <c r="BG86" s="183"/>
      <c r="BH86" s="163"/>
      <c r="BI86" s="167"/>
      <c r="BJ86" s="167"/>
      <c r="BK86" s="167"/>
      <c r="BL86" s="167"/>
      <c r="BN86" s="5">
        <f t="shared" si="87"/>
        <v>0</v>
      </c>
      <c r="BO86" s="5">
        <f t="shared" si="88"/>
        <v>0</v>
      </c>
      <c r="BP86" s="5">
        <f t="shared" si="89"/>
        <v>0</v>
      </c>
      <c r="BQ86" s="5">
        <f t="shared" si="90"/>
        <v>3.9823466666666669</v>
      </c>
      <c r="BR86" s="5">
        <f t="shared" si="91"/>
        <v>0</v>
      </c>
      <c r="BS86" s="163">
        <f t="shared" si="92"/>
        <v>0</v>
      </c>
      <c r="BT86" s="163">
        <f t="shared" si="93"/>
        <v>0</v>
      </c>
      <c r="BU86" s="163">
        <f t="shared" si="94"/>
        <v>0</v>
      </c>
      <c r="BV86" s="163">
        <f t="shared" si="95"/>
        <v>1</v>
      </c>
      <c r="BW86" s="163">
        <f t="shared" si="96"/>
        <v>0</v>
      </c>
      <c r="BX86" s="163">
        <f t="shared" si="97"/>
        <v>0</v>
      </c>
      <c r="BY86" s="163">
        <f t="shared" si="98"/>
        <v>0</v>
      </c>
      <c r="BZ86" s="163">
        <f t="shared" si="99"/>
        <v>0</v>
      </c>
      <c r="CA86" s="163">
        <f t="shared" si="100"/>
        <v>1</v>
      </c>
      <c r="CB86" s="163">
        <f t="shared" si="101"/>
        <v>0</v>
      </c>
      <c r="CC86" s="163">
        <f t="shared" si="120"/>
        <v>0</v>
      </c>
      <c r="CD86" s="163">
        <f t="shared" si="121"/>
        <v>0</v>
      </c>
      <c r="CE86" s="163">
        <f t="shared" si="122"/>
        <v>0</v>
      </c>
      <c r="CF86" s="163">
        <f t="shared" si="123"/>
        <v>2</v>
      </c>
      <c r="CG86" s="163">
        <f t="shared" si="124"/>
        <v>0</v>
      </c>
      <c r="CI86" s="167"/>
      <c r="CJ86" s="167"/>
      <c r="CK86" s="5"/>
      <c r="CL86" s="5" t="str">
        <f t="shared" si="125"/>
        <v/>
      </c>
      <c r="CM86" s="5" t="str">
        <f t="shared" si="126"/>
        <v/>
      </c>
      <c r="CN86" s="5"/>
      <c r="CO86" s="5" t="str">
        <f t="shared" si="128"/>
        <v/>
      </c>
      <c r="CP86" s="5" t="str">
        <f t="shared" si="141"/>
        <v/>
      </c>
      <c r="CQ86" s="5" t="str">
        <f t="shared" si="129"/>
        <v/>
      </c>
      <c r="CR86" s="5" t="str">
        <f t="shared" si="130"/>
        <v/>
      </c>
      <c r="CS86" s="5" t="str">
        <f t="shared" si="131"/>
        <v/>
      </c>
      <c r="CT86" s="50">
        <f t="shared" si="132"/>
        <v>0</v>
      </c>
      <c r="CU86" s="50">
        <f t="shared" si="133"/>
        <v>0</v>
      </c>
      <c r="CV86" s="50">
        <f t="shared" si="134"/>
        <v>0</v>
      </c>
      <c r="CW86" s="50">
        <f t="shared" si="135"/>
        <v>0</v>
      </c>
      <c r="CX86" s="190">
        <f t="shared" si="142"/>
        <v>0</v>
      </c>
      <c r="CZ86" s="1">
        <v>2.5499999999999998</v>
      </c>
      <c r="DA86" s="167">
        <f t="shared" si="136"/>
        <v>1.7</v>
      </c>
      <c r="DB86" s="1">
        <f>Alcantarillas!AX91</f>
        <v>17.05</v>
      </c>
      <c r="DC86" s="5">
        <f t="shared" si="137"/>
        <v>73.911749999999998</v>
      </c>
      <c r="DE86" s="172">
        <f t="shared" si="138"/>
        <v>546</v>
      </c>
      <c r="DF86" s="172">
        <f t="shared" si="139"/>
        <v>0</v>
      </c>
    </row>
    <row r="87" spans="14:110" x14ac:dyDescent="0.25">
      <c r="N87">
        <v>82</v>
      </c>
      <c r="O87" s="24">
        <f>Alcantarillas!E92</f>
        <v>22730</v>
      </c>
      <c r="P87" s="160">
        <f>IF(Alcantarillas!J92=1.2,1,0)</f>
        <v>0</v>
      </c>
      <c r="Q87" s="160">
        <f>IF(Alcantarillas!J92=1.3,1,0)</f>
        <v>0</v>
      </c>
      <c r="R87" s="160">
        <f>IF(Alcantarillas!J92=1.4,1,0)</f>
        <v>1</v>
      </c>
      <c r="S87" s="160">
        <f>IF(Alcantarillas!L92=1.2,1,0)</f>
        <v>0</v>
      </c>
      <c r="T87" s="160">
        <f>IF(Alcantarillas!L92=1.5,1,0)</f>
        <v>0</v>
      </c>
      <c r="V87" s="160">
        <f>IF(Alcantarillas!J92=1.2,Alcantarillas!AX92,0)</f>
        <v>0</v>
      </c>
      <c r="W87" s="160">
        <f>IF(Alcantarillas!J92=1.3,Alcantarillas!AX92,0)</f>
        <v>0</v>
      </c>
      <c r="X87" s="160">
        <f>IF(Alcantarillas!J92=1.4,Alcantarillas!AX92,0)</f>
        <v>21.5</v>
      </c>
      <c r="Y87" s="160">
        <f>IF(Alcantarillas!L92=1.2,Alcantarillas!AX92,0)</f>
        <v>0</v>
      </c>
      <c r="Z87" s="160">
        <f>IF(Alcantarillas!L92=1.5,Alcantarillas!AX92,0)</f>
        <v>0</v>
      </c>
      <c r="AB87" s="21">
        <v>2.9</v>
      </c>
      <c r="AC87" s="5">
        <f t="shared" si="102"/>
        <v>2.4</v>
      </c>
      <c r="AD87" s="21">
        <v>0.2</v>
      </c>
      <c r="AE87" s="5">
        <f t="shared" si="103"/>
        <v>1.5393804002589984</v>
      </c>
      <c r="AF87" s="5">
        <f t="shared" si="104"/>
        <v>1.0841239199482005</v>
      </c>
      <c r="AG87" s="21">
        <v>2.12</v>
      </c>
      <c r="AH87" s="5">
        <f t="shared" si="105"/>
        <v>4.6498666666666661</v>
      </c>
      <c r="AI87" s="5">
        <f t="shared" si="106"/>
        <v>0.92997333333333332</v>
      </c>
      <c r="AJ87" s="5">
        <f t="shared" si="107"/>
        <v>5.4</v>
      </c>
      <c r="AK87" s="5">
        <f t="shared" si="108"/>
        <v>5.8500000000000005</v>
      </c>
      <c r="AL87" s="5">
        <f t="shared" si="109"/>
        <v>1.1700000000000002</v>
      </c>
      <c r="AM87" s="5">
        <f t="shared" si="110"/>
        <v>3.1840972532815339</v>
      </c>
      <c r="AO87" s="21">
        <v>1.6</v>
      </c>
      <c r="AP87" s="5">
        <f t="shared" si="111"/>
        <v>2.4</v>
      </c>
      <c r="AQ87" s="21">
        <v>0.2</v>
      </c>
      <c r="AR87" s="5">
        <f t="shared" si="112"/>
        <v>1.5393804002589984</v>
      </c>
      <c r="AS87" s="5">
        <f t="shared" si="113"/>
        <v>0.46012391994820034</v>
      </c>
      <c r="AT87" s="21">
        <v>2.12</v>
      </c>
      <c r="AU87" s="5">
        <f t="shared" si="114"/>
        <v>1.893866666666667</v>
      </c>
      <c r="AV87" s="5">
        <f t="shared" si="115"/>
        <v>0.37877333333333341</v>
      </c>
      <c r="AW87" s="5">
        <f t="shared" si="116"/>
        <v>5.4</v>
      </c>
      <c r="AX87" s="5">
        <f t="shared" si="117"/>
        <v>5.8500000000000005</v>
      </c>
      <c r="AY87" s="5">
        <f t="shared" si="118"/>
        <v>1.1700000000000002</v>
      </c>
      <c r="AZ87" s="5">
        <f t="shared" si="119"/>
        <v>2.0088972532815337</v>
      </c>
      <c r="BB87" s="163">
        <v>15</v>
      </c>
      <c r="BC87" s="118">
        <f t="shared" si="144"/>
        <v>22.5</v>
      </c>
      <c r="BD87" s="118">
        <f t="shared" si="143"/>
        <v>166.5</v>
      </c>
      <c r="BE87" s="167">
        <v>14</v>
      </c>
      <c r="BF87" s="118">
        <f t="shared" si="145"/>
        <v>103.60000000000001</v>
      </c>
      <c r="BG87" s="183"/>
      <c r="BH87" s="163"/>
      <c r="BI87" s="167"/>
      <c r="BJ87" s="167"/>
      <c r="BK87" s="167"/>
      <c r="BL87" s="167"/>
      <c r="BN87" s="5">
        <f t="shared" si="87"/>
        <v>0</v>
      </c>
      <c r="BO87" s="5">
        <f t="shared" si="88"/>
        <v>0</v>
      </c>
      <c r="BP87" s="5">
        <f t="shared" si="89"/>
        <v>5.1929945065630676</v>
      </c>
      <c r="BQ87" s="5">
        <f t="shared" si="90"/>
        <v>0</v>
      </c>
      <c r="BR87" s="5">
        <f t="shared" si="91"/>
        <v>0</v>
      </c>
      <c r="BS87" s="163">
        <f t="shared" si="92"/>
        <v>0</v>
      </c>
      <c r="BT87" s="163">
        <f t="shared" si="93"/>
        <v>0</v>
      </c>
      <c r="BU87" s="163">
        <f t="shared" si="94"/>
        <v>1</v>
      </c>
      <c r="BV87" s="163">
        <f t="shared" si="95"/>
        <v>0</v>
      </c>
      <c r="BW87" s="163">
        <f t="shared" si="96"/>
        <v>0</v>
      </c>
      <c r="BX87" s="163">
        <f t="shared" si="97"/>
        <v>0</v>
      </c>
      <c r="BY87" s="163">
        <f t="shared" si="98"/>
        <v>0</v>
      </c>
      <c r="BZ87" s="163">
        <f t="shared" si="99"/>
        <v>1</v>
      </c>
      <c r="CA87" s="163">
        <f t="shared" si="100"/>
        <v>0</v>
      </c>
      <c r="CB87" s="163">
        <f t="shared" si="101"/>
        <v>0</v>
      </c>
      <c r="CC87" s="163">
        <f t="shared" si="120"/>
        <v>0</v>
      </c>
      <c r="CD87" s="163">
        <f t="shared" si="121"/>
        <v>0</v>
      </c>
      <c r="CE87" s="163">
        <f t="shared" si="122"/>
        <v>2</v>
      </c>
      <c r="CF87" s="163">
        <f t="shared" si="123"/>
        <v>0</v>
      </c>
      <c r="CG87" s="163">
        <f t="shared" si="124"/>
        <v>0</v>
      </c>
      <c r="CI87" s="167"/>
      <c r="CJ87" s="167"/>
      <c r="CK87" s="5"/>
      <c r="CL87" s="5" t="str">
        <f t="shared" si="125"/>
        <v/>
      </c>
      <c r="CM87" s="5"/>
      <c r="CN87" s="5"/>
      <c r="CO87" s="5" t="str">
        <f t="shared" si="128"/>
        <v/>
      </c>
      <c r="CP87" s="5" t="str">
        <f t="shared" si="141"/>
        <v/>
      </c>
      <c r="CQ87" s="5" t="str">
        <f t="shared" si="129"/>
        <v/>
      </c>
      <c r="CR87" s="5" t="str">
        <f t="shared" si="130"/>
        <v/>
      </c>
      <c r="CS87" s="5" t="str">
        <f t="shared" si="131"/>
        <v/>
      </c>
      <c r="CT87" s="50">
        <f t="shared" si="132"/>
        <v>0</v>
      </c>
      <c r="CU87" s="50">
        <f t="shared" si="133"/>
        <v>0</v>
      </c>
      <c r="CV87" s="50">
        <f t="shared" si="134"/>
        <v>0</v>
      </c>
      <c r="CW87" s="50">
        <f t="shared" si="135"/>
        <v>0</v>
      </c>
      <c r="CX87" s="190">
        <f t="shared" si="142"/>
        <v>0</v>
      </c>
      <c r="CZ87" s="1">
        <v>5</v>
      </c>
      <c r="DA87" s="167">
        <f t="shared" si="136"/>
        <v>1.9</v>
      </c>
      <c r="DB87" s="1">
        <f>Alcantarillas!AX92</f>
        <v>21.5</v>
      </c>
      <c r="DC87" s="5">
        <f t="shared" si="137"/>
        <v>204.25</v>
      </c>
      <c r="DE87" s="172">
        <f t="shared" si="138"/>
        <v>600</v>
      </c>
      <c r="DF87" s="172">
        <f t="shared" si="139"/>
        <v>0</v>
      </c>
    </row>
    <row r="88" spans="14:110" x14ac:dyDescent="0.25">
      <c r="N88">
        <v>83</v>
      </c>
      <c r="O88" s="24">
        <f>Alcantarillas!E93</f>
        <v>23131.9</v>
      </c>
      <c r="P88" s="160">
        <f>IF(Alcantarillas!J93=1.2,1,0)</f>
        <v>1</v>
      </c>
      <c r="Q88" s="160">
        <f>IF(Alcantarillas!J93=1.3,1,0)</f>
        <v>0</v>
      </c>
      <c r="R88" s="160">
        <f>IF(Alcantarillas!J93=1.4,1,0)</f>
        <v>0</v>
      </c>
      <c r="S88" s="160">
        <f>IF(Alcantarillas!L93=1.2,1,0)</f>
        <v>0</v>
      </c>
      <c r="T88" s="160">
        <f>IF(Alcantarillas!L93=1.5,1,0)</f>
        <v>0</v>
      </c>
      <c r="V88" s="160">
        <f>IF(Alcantarillas!J93=1.2,Alcantarillas!AX93,0)</f>
        <v>12.95</v>
      </c>
      <c r="W88" s="160">
        <f>IF(Alcantarillas!J93=1.3,Alcantarillas!AX93,0)</f>
        <v>0</v>
      </c>
      <c r="X88" s="160">
        <f>IF(Alcantarillas!J93=1.4,Alcantarillas!AX93,0)</f>
        <v>0</v>
      </c>
      <c r="Y88" s="160">
        <f>IF(Alcantarillas!L93=1.2,Alcantarillas!AX93,0)</f>
        <v>0</v>
      </c>
      <c r="Z88" s="160">
        <f>IF(Alcantarillas!L93=1.5,Alcantarillas!AX93,0)</f>
        <v>0</v>
      </c>
      <c r="AB88" s="21">
        <v>1.9</v>
      </c>
      <c r="AC88" s="5">
        <f t="shared" si="102"/>
        <v>2.2000000000000002</v>
      </c>
      <c r="AD88" s="21">
        <v>0.2</v>
      </c>
      <c r="AE88" s="5">
        <f t="shared" si="103"/>
        <v>1.1309733552923256</v>
      </c>
      <c r="AF88" s="5">
        <f t="shared" si="104"/>
        <v>0.60980532894153494</v>
      </c>
      <c r="AG88" s="21">
        <v>2.12</v>
      </c>
      <c r="AH88" s="5">
        <f t="shared" si="105"/>
        <v>2.529866666666666</v>
      </c>
      <c r="AI88" s="5">
        <f t="shared" si="106"/>
        <v>0.50597333333333327</v>
      </c>
      <c r="AJ88" s="5">
        <f t="shared" si="107"/>
        <v>5.2</v>
      </c>
      <c r="AK88" s="5">
        <f t="shared" si="108"/>
        <v>5.5500000000000007</v>
      </c>
      <c r="AL88" s="5">
        <f t="shared" si="109"/>
        <v>1.1100000000000001</v>
      </c>
      <c r="AM88" s="5">
        <f t="shared" si="110"/>
        <v>2.2257786622748683</v>
      </c>
      <c r="AO88" s="21">
        <v>1.5</v>
      </c>
      <c r="AP88" s="5">
        <f t="shared" si="111"/>
        <v>2.2000000000000002</v>
      </c>
      <c r="AQ88" s="21">
        <v>0.2</v>
      </c>
      <c r="AR88" s="5">
        <f t="shared" si="112"/>
        <v>1.1309733552923256</v>
      </c>
      <c r="AS88" s="5">
        <f t="shared" si="113"/>
        <v>0.4338053289415349</v>
      </c>
      <c r="AT88" s="21">
        <v>2.12</v>
      </c>
      <c r="AU88" s="5">
        <f t="shared" si="114"/>
        <v>1.6818666666666668</v>
      </c>
      <c r="AV88" s="5">
        <f t="shared" si="115"/>
        <v>0.33637333333333341</v>
      </c>
      <c r="AW88" s="5">
        <f t="shared" si="116"/>
        <v>5.2</v>
      </c>
      <c r="AX88" s="5">
        <f t="shared" si="117"/>
        <v>5.5500000000000007</v>
      </c>
      <c r="AY88" s="5">
        <f t="shared" si="118"/>
        <v>1.1100000000000001</v>
      </c>
      <c r="AZ88" s="5">
        <f t="shared" si="119"/>
        <v>1.8801786622748684</v>
      </c>
      <c r="BB88" s="163">
        <v>61</v>
      </c>
      <c r="BC88" s="118">
        <f t="shared" si="144"/>
        <v>91.5</v>
      </c>
      <c r="BD88" s="118">
        <f t="shared" si="143"/>
        <v>658.80000000000007</v>
      </c>
      <c r="BE88" s="167">
        <v>30.5</v>
      </c>
      <c r="BF88" s="118">
        <f t="shared" si="145"/>
        <v>219.6</v>
      </c>
      <c r="BG88" s="183"/>
      <c r="BH88" s="163"/>
      <c r="BI88" s="167"/>
      <c r="BJ88" s="167"/>
      <c r="BK88" s="167"/>
      <c r="BL88" s="167"/>
      <c r="BN88" s="5">
        <f t="shared" si="87"/>
        <v>4.1059573245497365</v>
      </c>
      <c r="BO88" s="5">
        <f t="shared" si="88"/>
        <v>0</v>
      </c>
      <c r="BP88" s="5">
        <f t="shared" si="89"/>
        <v>0</v>
      </c>
      <c r="BQ88" s="5">
        <f t="shared" si="90"/>
        <v>0</v>
      </c>
      <c r="BR88" s="5">
        <f t="shared" si="91"/>
        <v>0</v>
      </c>
      <c r="BS88" s="163">
        <f t="shared" si="92"/>
        <v>1</v>
      </c>
      <c r="BT88" s="163">
        <f t="shared" si="93"/>
        <v>0</v>
      </c>
      <c r="BU88" s="163">
        <f t="shared" si="94"/>
        <v>0</v>
      </c>
      <c r="BV88" s="163">
        <f t="shared" si="95"/>
        <v>0</v>
      </c>
      <c r="BW88" s="163">
        <f t="shared" si="96"/>
        <v>0</v>
      </c>
      <c r="BX88" s="163">
        <f t="shared" si="97"/>
        <v>1</v>
      </c>
      <c r="BY88" s="163">
        <f t="shared" si="98"/>
        <v>0</v>
      </c>
      <c r="BZ88" s="163">
        <f t="shared" si="99"/>
        <v>0</v>
      </c>
      <c r="CA88" s="163">
        <f t="shared" si="100"/>
        <v>0</v>
      </c>
      <c r="CB88" s="163">
        <f t="shared" si="101"/>
        <v>0</v>
      </c>
      <c r="CC88" s="163">
        <f t="shared" si="120"/>
        <v>2</v>
      </c>
      <c r="CD88" s="163">
        <f t="shared" si="121"/>
        <v>0</v>
      </c>
      <c r="CE88" s="163">
        <f t="shared" si="122"/>
        <v>0</v>
      </c>
      <c r="CF88" s="163">
        <f t="shared" si="123"/>
        <v>0</v>
      </c>
      <c r="CG88" s="163">
        <f t="shared" si="124"/>
        <v>0</v>
      </c>
      <c r="CI88" s="167"/>
      <c r="CJ88" s="167"/>
      <c r="CK88" s="5"/>
      <c r="CL88" s="5"/>
      <c r="CM88" s="5" t="str">
        <f t="shared" si="126"/>
        <v/>
      </c>
      <c r="CN88" s="5" t="str">
        <f t="shared" si="127"/>
        <v/>
      </c>
      <c r="CO88" s="5" t="str">
        <f t="shared" si="128"/>
        <v/>
      </c>
      <c r="CP88" s="5" t="str">
        <f t="shared" si="141"/>
        <v/>
      </c>
      <c r="CQ88" s="5" t="str">
        <f t="shared" si="129"/>
        <v/>
      </c>
      <c r="CR88" s="5" t="str">
        <f t="shared" si="130"/>
        <v/>
      </c>
      <c r="CS88" s="5" t="str">
        <f t="shared" si="131"/>
        <v/>
      </c>
      <c r="CT88" s="50">
        <f t="shared" si="132"/>
        <v>0</v>
      </c>
      <c r="CU88" s="50">
        <f t="shared" si="133"/>
        <v>0</v>
      </c>
      <c r="CV88" s="50">
        <f t="shared" si="134"/>
        <v>0</v>
      </c>
      <c r="CW88" s="50">
        <f t="shared" si="135"/>
        <v>0</v>
      </c>
      <c r="CX88" s="190">
        <f t="shared" si="142"/>
        <v>0</v>
      </c>
      <c r="CZ88" s="1">
        <v>2.1</v>
      </c>
      <c r="DA88" s="167">
        <f t="shared" si="136"/>
        <v>1.7</v>
      </c>
      <c r="DB88" s="1">
        <f>Alcantarillas!AX93</f>
        <v>12.95</v>
      </c>
      <c r="DC88" s="5">
        <f t="shared" si="137"/>
        <v>46.231499999999997</v>
      </c>
      <c r="DE88" s="172">
        <f t="shared" si="138"/>
        <v>2379</v>
      </c>
      <c r="DF88" s="172">
        <f t="shared" si="139"/>
        <v>0</v>
      </c>
    </row>
    <row r="89" spans="14:110" x14ac:dyDescent="0.25">
      <c r="N89">
        <v>84</v>
      </c>
      <c r="O89" s="24">
        <f>Alcantarillas!E94</f>
        <v>23206.7</v>
      </c>
      <c r="P89" s="160">
        <f>IF(Alcantarillas!J94=1.2,1,0)</f>
        <v>1</v>
      </c>
      <c r="Q89" s="160">
        <f>IF(Alcantarillas!J94=1.3,1,0)</f>
        <v>0</v>
      </c>
      <c r="R89" s="160">
        <f>IF(Alcantarillas!J94=1.4,1,0)</f>
        <v>0</v>
      </c>
      <c r="S89" s="160">
        <f>IF(Alcantarillas!L94=1.2,1,0)</f>
        <v>0</v>
      </c>
      <c r="T89" s="160">
        <f>IF(Alcantarillas!L94=1.5,1,0)</f>
        <v>0</v>
      </c>
      <c r="V89" s="160">
        <f>IF(Alcantarillas!J94=1.2,Alcantarillas!AX94,0)</f>
        <v>19.2</v>
      </c>
      <c r="W89" s="160">
        <f>IF(Alcantarillas!J94=1.3,Alcantarillas!AX94,0)</f>
        <v>0</v>
      </c>
      <c r="X89" s="160">
        <f>IF(Alcantarillas!J94=1.4,Alcantarillas!AX94,0)</f>
        <v>0</v>
      </c>
      <c r="Y89" s="160">
        <f>IF(Alcantarillas!L94=1.2,Alcantarillas!AX94,0)</f>
        <v>0</v>
      </c>
      <c r="Z89" s="160">
        <f>IF(Alcantarillas!L94=1.5,Alcantarillas!AX94,0)</f>
        <v>0</v>
      </c>
      <c r="AB89" s="21"/>
      <c r="AC89" s="5">
        <f t="shared" si="102"/>
        <v>2.2000000000000002</v>
      </c>
      <c r="AD89" s="21"/>
      <c r="AE89" s="5">
        <f t="shared" si="103"/>
        <v>1.1309733552923256</v>
      </c>
      <c r="AF89" s="5">
        <f t="shared" si="104"/>
        <v>0</v>
      </c>
      <c r="AG89" s="21"/>
      <c r="AH89" s="5">
        <f t="shared" si="105"/>
        <v>0</v>
      </c>
      <c r="AI89" s="5">
        <f t="shared" si="106"/>
        <v>0</v>
      </c>
      <c r="AJ89" s="5">
        <f t="shared" si="107"/>
        <v>5.2</v>
      </c>
      <c r="AK89" s="5">
        <f t="shared" si="108"/>
        <v>5.5500000000000007</v>
      </c>
      <c r="AL89" s="5">
        <f t="shared" si="109"/>
        <v>0</v>
      </c>
      <c r="AM89" s="5">
        <f t="shared" si="110"/>
        <v>0</v>
      </c>
      <c r="AO89" s="21">
        <v>1.5</v>
      </c>
      <c r="AP89" s="5">
        <f t="shared" si="111"/>
        <v>2.2000000000000002</v>
      </c>
      <c r="AQ89" s="21">
        <v>0.2</v>
      </c>
      <c r="AR89" s="5">
        <f t="shared" si="112"/>
        <v>1.1309733552923256</v>
      </c>
      <c r="AS89" s="5">
        <f t="shared" si="113"/>
        <v>0.4338053289415349</v>
      </c>
      <c r="AT89" s="21">
        <v>2.12</v>
      </c>
      <c r="AU89" s="5">
        <f t="shared" si="114"/>
        <v>1.6818666666666668</v>
      </c>
      <c r="AV89" s="5">
        <f t="shared" si="115"/>
        <v>0.33637333333333341</v>
      </c>
      <c r="AW89" s="5">
        <f t="shared" si="116"/>
        <v>5.2</v>
      </c>
      <c r="AX89" s="5">
        <f t="shared" si="117"/>
        <v>5.5500000000000007</v>
      </c>
      <c r="AY89" s="5">
        <f t="shared" si="118"/>
        <v>1.1100000000000001</v>
      </c>
      <c r="AZ89" s="5">
        <f t="shared" si="119"/>
        <v>1.8801786622748684</v>
      </c>
      <c r="BB89" s="163">
        <v>49</v>
      </c>
      <c r="BC89" s="118">
        <f t="shared" si="144"/>
        <v>73.5</v>
      </c>
      <c r="BD89" s="118">
        <f t="shared" si="143"/>
        <v>529.20000000000005</v>
      </c>
      <c r="BE89" s="167">
        <v>26.5</v>
      </c>
      <c r="BF89" s="118">
        <f t="shared" si="145"/>
        <v>190.8</v>
      </c>
      <c r="BG89" s="183"/>
      <c r="BH89" s="163"/>
      <c r="BI89" s="167"/>
      <c r="BJ89" s="167"/>
      <c r="BK89" s="167"/>
      <c r="BL89" s="167"/>
      <c r="BN89" s="5">
        <f t="shared" si="87"/>
        <v>1.8801786622748684</v>
      </c>
      <c r="BO89" s="5">
        <f t="shared" si="88"/>
        <v>0</v>
      </c>
      <c r="BP89" s="5">
        <f t="shared" si="89"/>
        <v>0</v>
      </c>
      <c r="BQ89" s="5">
        <f t="shared" si="90"/>
        <v>0</v>
      </c>
      <c r="BR89" s="5">
        <f t="shared" si="91"/>
        <v>0</v>
      </c>
      <c r="BS89" s="163">
        <f t="shared" si="92"/>
        <v>0</v>
      </c>
      <c r="BT89" s="163">
        <f t="shared" si="93"/>
        <v>0</v>
      </c>
      <c r="BU89" s="163">
        <f t="shared" si="94"/>
        <v>0</v>
      </c>
      <c r="BV89" s="163">
        <f t="shared" si="95"/>
        <v>0</v>
      </c>
      <c r="BW89" s="163">
        <f t="shared" si="96"/>
        <v>0</v>
      </c>
      <c r="BX89" s="163">
        <f t="shared" si="97"/>
        <v>1</v>
      </c>
      <c r="BY89" s="163">
        <f t="shared" si="98"/>
        <v>0</v>
      </c>
      <c r="BZ89" s="163">
        <f t="shared" si="99"/>
        <v>0</v>
      </c>
      <c r="CA89" s="163">
        <f t="shared" si="100"/>
        <v>0</v>
      </c>
      <c r="CB89" s="163">
        <f t="shared" si="101"/>
        <v>0</v>
      </c>
      <c r="CC89" s="163">
        <f t="shared" si="120"/>
        <v>1</v>
      </c>
      <c r="CD89" s="163">
        <f t="shared" si="121"/>
        <v>0</v>
      </c>
      <c r="CE89" s="163">
        <f t="shared" si="122"/>
        <v>0</v>
      </c>
      <c r="CF89" s="163">
        <f t="shared" si="123"/>
        <v>0</v>
      </c>
      <c r="CG89" s="163">
        <f t="shared" si="124"/>
        <v>0</v>
      </c>
      <c r="CI89" s="167">
        <v>2.4</v>
      </c>
      <c r="CJ89" s="167">
        <v>1.7</v>
      </c>
      <c r="CK89" s="5">
        <f t="shared" si="140"/>
        <v>4.51</v>
      </c>
      <c r="CL89" s="5">
        <f t="shared" si="125"/>
        <v>1.7</v>
      </c>
      <c r="CM89" s="5" t="str">
        <f t="shared" si="126"/>
        <v/>
      </c>
      <c r="CN89" s="5" t="str">
        <f t="shared" si="127"/>
        <v/>
      </c>
      <c r="CO89" s="5" t="str">
        <f t="shared" si="128"/>
        <v/>
      </c>
      <c r="CP89" s="5">
        <f t="shared" si="141"/>
        <v>1.3005</v>
      </c>
      <c r="CQ89" s="5" t="str">
        <f t="shared" si="129"/>
        <v/>
      </c>
      <c r="CR89" s="5" t="str">
        <f t="shared" si="130"/>
        <v/>
      </c>
      <c r="CS89" s="5" t="str">
        <f t="shared" si="131"/>
        <v/>
      </c>
      <c r="CT89" s="50">
        <f t="shared" si="132"/>
        <v>1</v>
      </c>
      <c r="CU89" s="50">
        <f t="shared" si="133"/>
        <v>0</v>
      </c>
      <c r="CV89" s="50">
        <f t="shared" si="134"/>
        <v>0</v>
      </c>
      <c r="CW89" s="50">
        <f t="shared" si="135"/>
        <v>0</v>
      </c>
      <c r="CX89" s="190">
        <f t="shared" si="142"/>
        <v>1</v>
      </c>
      <c r="CZ89" s="1">
        <v>3.6</v>
      </c>
      <c r="DA89" s="167">
        <f t="shared" si="136"/>
        <v>1.7</v>
      </c>
      <c r="DB89" s="1">
        <f>Alcantarillas!AX94</f>
        <v>19.2</v>
      </c>
      <c r="DC89" s="5">
        <f t="shared" si="137"/>
        <v>117.50399999999999</v>
      </c>
      <c r="DE89" s="172">
        <f t="shared" si="138"/>
        <v>1911</v>
      </c>
      <c r="DF89" s="172">
        <f t="shared" si="139"/>
        <v>0</v>
      </c>
    </row>
    <row r="90" spans="14:110" x14ac:dyDescent="0.25">
      <c r="N90">
        <v>85</v>
      </c>
      <c r="O90" s="24">
        <f>Alcantarillas!E95</f>
        <v>23310.400000000001</v>
      </c>
      <c r="P90" s="160">
        <f>IF(Alcantarillas!J95=1.2,1,0)</f>
        <v>1</v>
      </c>
      <c r="Q90" s="160">
        <f>IF(Alcantarillas!J95=1.3,1,0)</f>
        <v>0</v>
      </c>
      <c r="R90" s="160">
        <f>IF(Alcantarillas!J95=1.4,1,0)</f>
        <v>0</v>
      </c>
      <c r="S90" s="160">
        <f>IF(Alcantarillas!L95=1.2,1,0)</f>
        <v>0</v>
      </c>
      <c r="T90" s="160">
        <f>IF(Alcantarillas!L95=1.5,1,0)</f>
        <v>0</v>
      </c>
      <c r="V90" s="160">
        <f>IF(Alcantarillas!J95=1.2,Alcantarillas!AX95,0)</f>
        <v>11.2</v>
      </c>
      <c r="W90" s="160">
        <f>IF(Alcantarillas!J95=1.3,Alcantarillas!AX95,0)</f>
        <v>0</v>
      </c>
      <c r="X90" s="160">
        <f>IF(Alcantarillas!J95=1.4,Alcantarillas!AX95,0)</f>
        <v>0</v>
      </c>
      <c r="Y90" s="160">
        <f>IF(Alcantarillas!L95=1.2,Alcantarillas!AX95,0)</f>
        <v>0</v>
      </c>
      <c r="Z90" s="160">
        <f>IF(Alcantarillas!L95=1.5,Alcantarillas!AX95,0)</f>
        <v>0</v>
      </c>
      <c r="AB90" s="21"/>
      <c r="AC90" s="5">
        <f t="shared" si="102"/>
        <v>2.2000000000000002</v>
      </c>
      <c r="AD90" s="21"/>
      <c r="AE90" s="5">
        <f t="shared" si="103"/>
        <v>1.1309733552923256</v>
      </c>
      <c r="AF90" s="5">
        <f t="shared" si="104"/>
        <v>0</v>
      </c>
      <c r="AG90" s="21"/>
      <c r="AH90" s="5">
        <f t="shared" si="105"/>
        <v>0</v>
      </c>
      <c r="AI90" s="5">
        <f t="shared" si="106"/>
        <v>0</v>
      </c>
      <c r="AJ90" s="5">
        <f t="shared" si="107"/>
        <v>5.2</v>
      </c>
      <c r="AK90" s="5">
        <f t="shared" si="108"/>
        <v>5.5500000000000007</v>
      </c>
      <c r="AL90" s="5">
        <f t="shared" si="109"/>
        <v>0</v>
      </c>
      <c r="AM90" s="5">
        <f t="shared" si="110"/>
        <v>0</v>
      </c>
      <c r="AO90" s="21">
        <v>1.5</v>
      </c>
      <c r="AP90" s="5">
        <f t="shared" si="111"/>
        <v>2.2000000000000002</v>
      </c>
      <c r="AQ90" s="21">
        <v>0.2</v>
      </c>
      <c r="AR90" s="5">
        <f t="shared" si="112"/>
        <v>1.1309733552923256</v>
      </c>
      <c r="AS90" s="5">
        <f t="shared" si="113"/>
        <v>0.4338053289415349</v>
      </c>
      <c r="AT90" s="21">
        <v>2.12</v>
      </c>
      <c r="AU90" s="5">
        <f t="shared" si="114"/>
        <v>1.6818666666666668</v>
      </c>
      <c r="AV90" s="5">
        <f t="shared" si="115"/>
        <v>0.33637333333333341</v>
      </c>
      <c r="AW90" s="5">
        <f t="shared" si="116"/>
        <v>5.2</v>
      </c>
      <c r="AX90" s="5">
        <f t="shared" si="117"/>
        <v>5.5500000000000007</v>
      </c>
      <c r="AY90" s="5">
        <f t="shared" si="118"/>
        <v>1.1100000000000001</v>
      </c>
      <c r="AZ90" s="5">
        <f t="shared" si="119"/>
        <v>1.8801786622748684</v>
      </c>
      <c r="BB90" s="163">
        <v>52</v>
      </c>
      <c r="BC90" s="118">
        <f t="shared" si="144"/>
        <v>78</v>
      </c>
      <c r="BD90" s="118">
        <f t="shared" si="143"/>
        <v>561.6</v>
      </c>
      <c r="BE90" s="167">
        <v>30.7</v>
      </c>
      <c r="BF90" s="118">
        <f t="shared" si="145"/>
        <v>221.04</v>
      </c>
      <c r="BG90" s="183"/>
      <c r="BH90" s="163"/>
      <c r="BI90" s="167"/>
      <c r="BJ90" s="167"/>
      <c r="BK90" s="167"/>
      <c r="BL90" s="167"/>
      <c r="BN90" s="5">
        <f t="shared" si="87"/>
        <v>1.8801786622748684</v>
      </c>
      <c r="BO90" s="5">
        <f t="shared" si="88"/>
        <v>0</v>
      </c>
      <c r="BP90" s="5">
        <f t="shared" si="89"/>
        <v>0</v>
      </c>
      <c r="BQ90" s="5">
        <f t="shared" si="90"/>
        <v>0</v>
      </c>
      <c r="BR90" s="5">
        <f t="shared" si="91"/>
        <v>0</v>
      </c>
      <c r="BS90" s="163">
        <f t="shared" si="92"/>
        <v>0</v>
      </c>
      <c r="BT90" s="163">
        <f t="shared" si="93"/>
        <v>0</v>
      </c>
      <c r="BU90" s="163">
        <f t="shared" si="94"/>
        <v>0</v>
      </c>
      <c r="BV90" s="163">
        <f t="shared" si="95"/>
        <v>0</v>
      </c>
      <c r="BW90" s="163">
        <f t="shared" si="96"/>
        <v>0</v>
      </c>
      <c r="BX90" s="163">
        <f t="shared" si="97"/>
        <v>1</v>
      </c>
      <c r="BY90" s="163">
        <f t="shared" si="98"/>
        <v>0</v>
      </c>
      <c r="BZ90" s="163">
        <f t="shared" si="99"/>
        <v>0</v>
      </c>
      <c r="CA90" s="163">
        <f t="shared" si="100"/>
        <v>0</v>
      </c>
      <c r="CB90" s="163">
        <f t="shared" si="101"/>
        <v>0</v>
      </c>
      <c r="CC90" s="163">
        <f t="shared" si="120"/>
        <v>1</v>
      </c>
      <c r="CD90" s="163">
        <f t="shared" si="121"/>
        <v>0</v>
      </c>
      <c r="CE90" s="163">
        <f t="shared" si="122"/>
        <v>0</v>
      </c>
      <c r="CF90" s="163">
        <f t="shared" si="123"/>
        <v>0</v>
      </c>
      <c r="CG90" s="163">
        <f t="shared" si="124"/>
        <v>0</v>
      </c>
      <c r="CI90" s="167">
        <v>4.5999999999999996</v>
      </c>
      <c r="CJ90" s="167">
        <v>2.1</v>
      </c>
      <c r="CK90" s="5">
        <f t="shared" si="140"/>
        <v>7.37</v>
      </c>
      <c r="CL90" s="5">
        <f t="shared" si="125"/>
        <v>1.7</v>
      </c>
      <c r="CM90" s="5" t="str">
        <f t="shared" si="126"/>
        <v/>
      </c>
      <c r="CN90" s="5" t="str">
        <f t="shared" si="127"/>
        <v/>
      </c>
      <c r="CO90" s="5" t="str">
        <f t="shared" si="128"/>
        <v/>
      </c>
      <c r="CP90" s="5">
        <f t="shared" si="141"/>
        <v>1.9634999999999996</v>
      </c>
      <c r="CQ90" s="5" t="str">
        <f t="shared" si="129"/>
        <v/>
      </c>
      <c r="CR90" s="5" t="str">
        <f t="shared" si="130"/>
        <v/>
      </c>
      <c r="CS90" s="5" t="str">
        <f t="shared" si="131"/>
        <v/>
      </c>
      <c r="CT90" s="50">
        <f t="shared" si="132"/>
        <v>1</v>
      </c>
      <c r="CU90" s="50">
        <f t="shared" si="133"/>
        <v>0</v>
      </c>
      <c r="CV90" s="50">
        <f t="shared" si="134"/>
        <v>0</v>
      </c>
      <c r="CW90" s="50">
        <f t="shared" si="135"/>
        <v>0</v>
      </c>
      <c r="CX90" s="190">
        <f t="shared" si="142"/>
        <v>1</v>
      </c>
      <c r="CZ90" s="1">
        <v>2</v>
      </c>
      <c r="DA90" s="167">
        <f t="shared" si="136"/>
        <v>1.7</v>
      </c>
      <c r="DB90" s="1">
        <f>Alcantarillas!AX95</f>
        <v>11.2</v>
      </c>
      <c r="DC90" s="5">
        <f t="shared" si="137"/>
        <v>38.08</v>
      </c>
      <c r="DE90" s="172">
        <f t="shared" si="138"/>
        <v>2028</v>
      </c>
      <c r="DF90" s="172">
        <f t="shared" si="139"/>
        <v>0</v>
      </c>
    </row>
    <row r="91" spans="14:110" x14ac:dyDescent="0.25">
      <c r="N91">
        <v>86</v>
      </c>
      <c r="O91" s="24">
        <f>Alcantarillas!E96</f>
        <v>23390</v>
      </c>
      <c r="P91" s="160">
        <f>IF(Alcantarillas!J96=1.2,1,0)</f>
        <v>1</v>
      </c>
      <c r="Q91" s="160">
        <f>IF(Alcantarillas!J96=1.3,1,0)</f>
        <v>0</v>
      </c>
      <c r="R91" s="160">
        <f>IF(Alcantarillas!J96=1.4,1,0)</f>
        <v>0</v>
      </c>
      <c r="S91" s="160">
        <f>IF(Alcantarillas!L96=1.2,1,0)</f>
        <v>0</v>
      </c>
      <c r="T91" s="160">
        <f>IF(Alcantarillas!L96=1.5,1,0)</f>
        <v>0</v>
      </c>
      <c r="V91" s="160">
        <f>IF(Alcantarillas!J96=1.2,Alcantarillas!AX96,0)</f>
        <v>17.149999999999999</v>
      </c>
      <c r="W91" s="160">
        <f>IF(Alcantarillas!J96=1.3,Alcantarillas!AX96,0)</f>
        <v>0</v>
      </c>
      <c r="X91" s="160">
        <f>IF(Alcantarillas!J96=1.4,Alcantarillas!AX96,0)</f>
        <v>0</v>
      </c>
      <c r="Y91" s="160">
        <f>IF(Alcantarillas!L96=1.2,Alcantarillas!AX96,0)</f>
        <v>0</v>
      </c>
      <c r="Z91" s="160">
        <f>IF(Alcantarillas!L96=1.5,Alcantarillas!AX96,0)</f>
        <v>0</v>
      </c>
      <c r="AB91" s="21">
        <v>1.9</v>
      </c>
      <c r="AC91" s="5">
        <f t="shared" si="102"/>
        <v>2.2000000000000002</v>
      </c>
      <c r="AD91" s="21">
        <v>0.2</v>
      </c>
      <c r="AE91" s="5">
        <f t="shared" si="103"/>
        <v>1.1309733552923256</v>
      </c>
      <c r="AF91" s="5">
        <f t="shared" si="104"/>
        <v>0.60980532894153494</v>
      </c>
      <c r="AG91" s="21">
        <v>2.12</v>
      </c>
      <c r="AH91" s="5">
        <f t="shared" si="105"/>
        <v>2.529866666666666</v>
      </c>
      <c r="AI91" s="5">
        <f t="shared" si="106"/>
        <v>0.50597333333333327</v>
      </c>
      <c r="AJ91" s="5">
        <f t="shared" si="107"/>
        <v>5.2</v>
      </c>
      <c r="AK91" s="5">
        <f t="shared" si="108"/>
        <v>5.5500000000000007</v>
      </c>
      <c r="AL91" s="5">
        <f t="shared" si="109"/>
        <v>1.1100000000000001</v>
      </c>
      <c r="AM91" s="5">
        <f t="shared" si="110"/>
        <v>2.2257786622748683</v>
      </c>
      <c r="AO91" s="21">
        <v>1.5</v>
      </c>
      <c r="AP91" s="5">
        <f t="shared" si="111"/>
        <v>2.2000000000000002</v>
      </c>
      <c r="AQ91" s="21">
        <v>0.2</v>
      </c>
      <c r="AR91" s="5">
        <f t="shared" si="112"/>
        <v>1.1309733552923256</v>
      </c>
      <c r="AS91" s="5">
        <f t="shared" si="113"/>
        <v>0.4338053289415349</v>
      </c>
      <c r="AT91" s="21">
        <v>2.12</v>
      </c>
      <c r="AU91" s="5">
        <f t="shared" si="114"/>
        <v>1.6818666666666668</v>
      </c>
      <c r="AV91" s="5">
        <f t="shared" si="115"/>
        <v>0.33637333333333341</v>
      </c>
      <c r="AW91" s="5">
        <f t="shared" si="116"/>
        <v>5.2</v>
      </c>
      <c r="AX91" s="5">
        <f t="shared" si="117"/>
        <v>5.5500000000000007</v>
      </c>
      <c r="AY91" s="5">
        <f t="shared" si="118"/>
        <v>1.1100000000000001</v>
      </c>
      <c r="AZ91" s="5">
        <f t="shared" si="119"/>
        <v>1.8801786622748684</v>
      </c>
      <c r="BB91" s="163">
        <v>35</v>
      </c>
      <c r="BC91" s="118">
        <f t="shared" si="144"/>
        <v>52.5</v>
      </c>
      <c r="BD91" s="118">
        <f t="shared" si="143"/>
        <v>378</v>
      </c>
      <c r="BE91" s="167">
        <v>23.5</v>
      </c>
      <c r="BF91" s="118">
        <f t="shared" si="145"/>
        <v>169.20000000000002</v>
      </c>
      <c r="BG91" s="183"/>
      <c r="BH91" s="163"/>
      <c r="BI91" s="167"/>
      <c r="BJ91" s="167"/>
      <c r="BK91" s="167"/>
      <c r="BL91" s="167"/>
      <c r="BN91" s="5">
        <f t="shared" si="87"/>
        <v>4.1059573245497365</v>
      </c>
      <c r="BO91" s="5">
        <f t="shared" si="88"/>
        <v>0</v>
      </c>
      <c r="BP91" s="5">
        <f t="shared" si="89"/>
        <v>0</v>
      </c>
      <c r="BQ91" s="5">
        <f t="shared" si="90"/>
        <v>0</v>
      </c>
      <c r="BR91" s="5">
        <f t="shared" si="91"/>
        <v>0</v>
      </c>
      <c r="BS91" s="163">
        <f t="shared" si="92"/>
        <v>1</v>
      </c>
      <c r="BT91" s="163">
        <f t="shared" si="93"/>
        <v>0</v>
      </c>
      <c r="BU91" s="163">
        <f t="shared" si="94"/>
        <v>0</v>
      </c>
      <c r="BV91" s="163">
        <f t="shared" si="95"/>
        <v>0</v>
      </c>
      <c r="BW91" s="163">
        <f t="shared" si="96"/>
        <v>0</v>
      </c>
      <c r="BX91" s="163">
        <f t="shared" si="97"/>
        <v>1</v>
      </c>
      <c r="BY91" s="163">
        <f t="shared" si="98"/>
        <v>0</v>
      </c>
      <c r="BZ91" s="163">
        <f t="shared" si="99"/>
        <v>0</v>
      </c>
      <c r="CA91" s="163">
        <f t="shared" si="100"/>
        <v>0</v>
      </c>
      <c r="CB91" s="163">
        <f t="shared" si="101"/>
        <v>0</v>
      </c>
      <c r="CC91" s="163">
        <f t="shared" si="120"/>
        <v>2</v>
      </c>
      <c r="CD91" s="163">
        <f t="shared" si="121"/>
        <v>0</v>
      </c>
      <c r="CE91" s="163">
        <f t="shared" si="122"/>
        <v>0</v>
      </c>
      <c r="CF91" s="163">
        <f t="shared" si="123"/>
        <v>0</v>
      </c>
      <c r="CG91" s="163">
        <f t="shared" si="124"/>
        <v>0</v>
      </c>
      <c r="CI91" s="167"/>
      <c r="CJ91" s="167"/>
      <c r="CK91" s="5"/>
      <c r="CL91" s="5"/>
      <c r="CM91" s="5" t="str">
        <f t="shared" si="126"/>
        <v/>
      </c>
      <c r="CN91" s="5" t="str">
        <f t="shared" si="127"/>
        <v/>
      </c>
      <c r="CO91" s="5" t="str">
        <f t="shared" si="128"/>
        <v/>
      </c>
      <c r="CP91" s="5" t="str">
        <f t="shared" si="141"/>
        <v/>
      </c>
      <c r="CQ91" s="5" t="str">
        <f t="shared" si="129"/>
        <v/>
      </c>
      <c r="CR91" s="5" t="str">
        <f t="shared" si="130"/>
        <v/>
      </c>
      <c r="CS91" s="5" t="str">
        <f t="shared" si="131"/>
        <v/>
      </c>
      <c r="CT91" s="50">
        <f t="shared" si="132"/>
        <v>0</v>
      </c>
      <c r="CU91" s="50">
        <f t="shared" si="133"/>
        <v>0</v>
      </c>
      <c r="CV91" s="50">
        <f t="shared" si="134"/>
        <v>0</v>
      </c>
      <c r="CW91" s="50">
        <f t="shared" si="135"/>
        <v>0</v>
      </c>
      <c r="CX91" s="190">
        <f t="shared" si="142"/>
        <v>0</v>
      </c>
      <c r="CZ91" s="1">
        <v>3.3</v>
      </c>
      <c r="DA91" s="167">
        <f t="shared" si="136"/>
        <v>1.7</v>
      </c>
      <c r="DB91" s="1">
        <f>Alcantarillas!AX96</f>
        <v>17.149999999999999</v>
      </c>
      <c r="DC91" s="5">
        <f t="shared" si="137"/>
        <v>96.211499999999987</v>
      </c>
      <c r="DE91" s="172">
        <f t="shared" si="138"/>
        <v>1365</v>
      </c>
      <c r="DF91" s="172">
        <f t="shared" si="139"/>
        <v>0</v>
      </c>
    </row>
    <row r="92" spans="14:110" x14ac:dyDescent="0.25">
      <c r="N92">
        <v>87</v>
      </c>
      <c r="O92" s="24">
        <f>Alcantarillas!E97</f>
        <v>23505</v>
      </c>
      <c r="P92" s="160">
        <f>IF(Alcantarillas!J97=1.2,1,0)</f>
        <v>1</v>
      </c>
      <c r="Q92" s="160">
        <f>IF(Alcantarillas!J97=1.3,1,0)</f>
        <v>0</v>
      </c>
      <c r="R92" s="160">
        <f>IF(Alcantarillas!J97=1.4,1,0)</f>
        <v>0</v>
      </c>
      <c r="S92" s="160">
        <f>IF(Alcantarillas!L97=1.2,1,0)</f>
        <v>0</v>
      </c>
      <c r="T92" s="160">
        <f>IF(Alcantarillas!L97=1.5,1,0)</f>
        <v>0</v>
      </c>
      <c r="V92" s="160">
        <f>IF(Alcantarillas!J97=1.2,Alcantarillas!AX97,0)</f>
        <v>15.7</v>
      </c>
      <c r="W92" s="160">
        <f>IF(Alcantarillas!J97=1.3,Alcantarillas!AX97,0)</f>
        <v>0</v>
      </c>
      <c r="X92" s="160">
        <f>IF(Alcantarillas!J97=1.4,Alcantarillas!AX97,0)</f>
        <v>0</v>
      </c>
      <c r="Y92" s="160">
        <f>IF(Alcantarillas!L97=1.2,Alcantarillas!AX97,0)</f>
        <v>0</v>
      </c>
      <c r="Z92" s="160">
        <f>IF(Alcantarillas!L97=1.5,Alcantarillas!AX97,0)</f>
        <v>0</v>
      </c>
      <c r="AB92" s="21">
        <v>2.6</v>
      </c>
      <c r="AC92" s="5">
        <f t="shared" si="102"/>
        <v>2.2000000000000002</v>
      </c>
      <c r="AD92" s="21">
        <v>0.2</v>
      </c>
      <c r="AE92" s="5">
        <f t="shared" si="103"/>
        <v>1.1309733552923256</v>
      </c>
      <c r="AF92" s="5">
        <f t="shared" si="104"/>
        <v>0.9178053289415351</v>
      </c>
      <c r="AG92" s="21">
        <v>2.12</v>
      </c>
      <c r="AH92" s="5">
        <f t="shared" si="105"/>
        <v>4.0138666666666669</v>
      </c>
      <c r="AI92" s="5">
        <f t="shared" si="106"/>
        <v>0.80277333333333345</v>
      </c>
      <c r="AJ92" s="5">
        <f t="shared" si="107"/>
        <v>5.2</v>
      </c>
      <c r="AK92" s="5">
        <f t="shared" si="108"/>
        <v>5.5500000000000007</v>
      </c>
      <c r="AL92" s="5">
        <f t="shared" si="109"/>
        <v>1.1100000000000001</v>
      </c>
      <c r="AM92" s="5">
        <f t="shared" si="110"/>
        <v>2.8305786622748688</v>
      </c>
      <c r="AO92" s="21">
        <v>2.6</v>
      </c>
      <c r="AP92" s="5">
        <f t="shared" si="111"/>
        <v>2.2000000000000002</v>
      </c>
      <c r="AQ92" s="21">
        <v>0.2</v>
      </c>
      <c r="AR92" s="5">
        <f t="shared" si="112"/>
        <v>1.1309733552923256</v>
      </c>
      <c r="AS92" s="5">
        <f t="shared" si="113"/>
        <v>0.9178053289415351</v>
      </c>
      <c r="AT92" s="21">
        <v>2.12</v>
      </c>
      <c r="AU92" s="5">
        <f t="shared" si="114"/>
        <v>4.0138666666666669</v>
      </c>
      <c r="AV92" s="5">
        <f t="shared" si="115"/>
        <v>0.80277333333333345</v>
      </c>
      <c r="AW92" s="5">
        <f t="shared" si="116"/>
        <v>5.2</v>
      </c>
      <c r="AX92" s="5">
        <f t="shared" si="117"/>
        <v>5.5500000000000007</v>
      </c>
      <c r="AY92" s="5">
        <f t="shared" si="118"/>
        <v>1.1100000000000001</v>
      </c>
      <c r="AZ92" s="5">
        <f t="shared" si="119"/>
        <v>2.8305786622748688</v>
      </c>
      <c r="BB92" s="163">
        <v>30</v>
      </c>
      <c r="BC92" s="118">
        <f t="shared" si="144"/>
        <v>45</v>
      </c>
      <c r="BD92" s="118">
        <f t="shared" si="143"/>
        <v>324</v>
      </c>
      <c r="BE92" s="167">
        <v>18.5</v>
      </c>
      <c r="BF92" s="118">
        <f t="shared" si="145"/>
        <v>133.20000000000002</v>
      </c>
      <c r="BG92" s="183"/>
      <c r="BH92" s="163"/>
      <c r="BI92" s="167"/>
      <c r="BJ92" s="167"/>
      <c r="BK92" s="167"/>
      <c r="BL92" s="167"/>
      <c r="BN92" s="5">
        <f t="shared" si="87"/>
        <v>5.6611573245497375</v>
      </c>
      <c r="BO92" s="5">
        <f t="shared" si="88"/>
        <v>0</v>
      </c>
      <c r="BP92" s="5">
        <f t="shared" si="89"/>
        <v>0</v>
      </c>
      <c r="BQ92" s="5">
        <f t="shared" si="90"/>
        <v>0</v>
      </c>
      <c r="BR92" s="5">
        <f t="shared" si="91"/>
        <v>0</v>
      </c>
      <c r="BS92" s="163">
        <f t="shared" si="92"/>
        <v>1</v>
      </c>
      <c r="BT92" s="163">
        <f t="shared" si="93"/>
        <v>0</v>
      </c>
      <c r="BU92" s="163">
        <f t="shared" si="94"/>
        <v>0</v>
      </c>
      <c r="BV92" s="163">
        <f t="shared" si="95"/>
        <v>0</v>
      </c>
      <c r="BW92" s="163">
        <f t="shared" si="96"/>
        <v>0</v>
      </c>
      <c r="BX92" s="163">
        <f t="shared" si="97"/>
        <v>1</v>
      </c>
      <c r="BY92" s="163">
        <f t="shared" si="98"/>
        <v>0</v>
      </c>
      <c r="BZ92" s="163">
        <f t="shared" si="99"/>
        <v>0</v>
      </c>
      <c r="CA92" s="163">
        <f t="shared" si="100"/>
        <v>0</v>
      </c>
      <c r="CB92" s="163">
        <f t="shared" si="101"/>
        <v>0</v>
      </c>
      <c r="CC92" s="163">
        <f t="shared" si="120"/>
        <v>2</v>
      </c>
      <c r="CD92" s="163">
        <f t="shared" si="121"/>
        <v>0</v>
      </c>
      <c r="CE92" s="163">
        <f t="shared" si="122"/>
        <v>0</v>
      </c>
      <c r="CF92" s="163">
        <f t="shared" si="123"/>
        <v>0</v>
      </c>
      <c r="CG92" s="163">
        <f t="shared" si="124"/>
        <v>0</v>
      </c>
      <c r="CI92" s="167"/>
      <c r="CJ92" s="167"/>
      <c r="CK92" s="5"/>
      <c r="CL92" s="5"/>
      <c r="CM92" s="5" t="str">
        <f t="shared" si="126"/>
        <v/>
      </c>
      <c r="CN92" s="5" t="str">
        <f t="shared" si="127"/>
        <v/>
      </c>
      <c r="CO92" s="5" t="str">
        <f t="shared" si="128"/>
        <v/>
      </c>
      <c r="CP92" s="5" t="str">
        <f t="shared" si="141"/>
        <v/>
      </c>
      <c r="CQ92" s="5" t="str">
        <f t="shared" si="129"/>
        <v/>
      </c>
      <c r="CR92" s="5" t="str">
        <f t="shared" si="130"/>
        <v/>
      </c>
      <c r="CS92" s="5" t="str">
        <f t="shared" si="131"/>
        <v/>
      </c>
      <c r="CT92" s="50">
        <f t="shared" si="132"/>
        <v>0</v>
      </c>
      <c r="CU92" s="50">
        <f t="shared" si="133"/>
        <v>0</v>
      </c>
      <c r="CV92" s="50">
        <f t="shared" si="134"/>
        <v>0</v>
      </c>
      <c r="CW92" s="50">
        <f t="shared" si="135"/>
        <v>0</v>
      </c>
      <c r="CX92" s="190">
        <f t="shared" si="142"/>
        <v>0</v>
      </c>
      <c r="CZ92" s="1">
        <v>4.7</v>
      </c>
      <c r="DA92" s="167">
        <f t="shared" si="136"/>
        <v>1.7</v>
      </c>
      <c r="DB92" s="1">
        <f>Alcantarillas!AX97</f>
        <v>15.7</v>
      </c>
      <c r="DC92" s="5">
        <f t="shared" si="137"/>
        <v>125.443</v>
      </c>
      <c r="DE92" s="172">
        <f t="shared" si="138"/>
        <v>1170</v>
      </c>
      <c r="DF92" s="172">
        <f t="shared" si="139"/>
        <v>0</v>
      </c>
    </row>
    <row r="93" spans="14:110" x14ac:dyDescent="0.25">
      <c r="N93">
        <v>88</v>
      </c>
      <c r="O93" s="24">
        <f>Alcantarillas!E98</f>
        <v>23619</v>
      </c>
      <c r="P93" s="160">
        <f>IF(Alcantarillas!J98=1.2,1,0)</f>
        <v>1</v>
      </c>
      <c r="Q93" s="160">
        <f>IF(Alcantarillas!J98=1.3,1,0)</f>
        <v>0</v>
      </c>
      <c r="R93" s="160">
        <f>IF(Alcantarillas!J98=1.4,1,0)</f>
        <v>0</v>
      </c>
      <c r="S93" s="160">
        <f>IF(Alcantarillas!L98=1.2,1,0)</f>
        <v>0</v>
      </c>
      <c r="T93" s="160">
        <f>IF(Alcantarillas!L98=1.5,1,0)</f>
        <v>0</v>
      </c>
      <c r="V93" s="160">
        <f>IF(Alcantarillas!J98=1.2,Alcantarillas!AX98,0)</f>
        <v>39.1</v>
      </c>
      <c r="W93" s="160">
        <f>IF(Alcantarillas!J98=1.3,Alcantarillas!AX98,0)</f>
        <v>0</v>
      </c>
      <c r="X93" s="160">
        <f>IF(Alcantarillas!J98=1.4,Alcantarillas!AX98,0)</f>
        <v>0</v>
      </c>
      <c r="Y93" s="160">
        <f>IF(Alcantarillas!L98=1.2,Alcantarillas!AX98,0)</f>
        <v>0</v>
      </c>
      <c r="Z93" s="160">
        <f>IF(Alcantarillas!L98=1.5,Alcantarillas!AX98,0)</f>
        <v>0</v>
      </c>
      <c r="AB93" s="21">
        <v>2.8</v>
      </c>
      <c r="AC93" s="5">
        <f t="shared" si="102"/>
        <v>2.2000000000000002</v>
      </c>
      <c r="AD93" s="21">
        <v>0.2</v>
      </c>
      <c r="AE93" s="5">
        <f t="shared" si="103"/>
        <v>1.1309733552923256</v>
      </c>
      <c r="AF93" s="5">
        <f t="shared" si="104"/>
        <v>1.005805328941535</v>
      </c>
      <c r="AG93" s="21">
        <v>2.12</v>
      </c>
      <c r="AH93" s="5">
        <f t="shared" si="105"/>
        <v>4.4378666666666664</v>
      </c>
      <c r="AI93" s="5">
        <f t="shared" si="106"/>
        <v>0.88757333333333333</v>
      </c>
      <c r="AJ93" s="5">
        <f t="shared" si="107"/>
        <v>5.2</v>
      </c>
      <c r="AK93" s="5">
        <f t="shared" si="108"/>
        <v>5.5500000000000007</v>
      </c>
      <c r="AL93" s="5">
        <f t="shared" si="109"/>
        <v>1.1100000000000001</v>
      </c>
      <c r="AM93" s="5">
        <f t="shared" si="110"/>
        <v>3.0033786622748684</v>
      </c>
      <c r="AO93" s="21">
        <v>1.5</v>
      </c>
      <c r="AP93" s="5">
        <f t="shared" si="111"/>
        <v>2.2000000000000002</v>
      </c>
      <c r="AQ93" s="21">
        <v>0.2</v>
      </c>
      <c r="AR93" s="5">
        <f t="shared" si="112"/>
        <v>1.1309733552923256</v>
      </c>
      <c r="AS93" s="5">
        <f t="shared" si="113"/>
        <v>0.4338053289415349</v>
      </c>
      <c r="AT93" s="21">
        <v>2.12</v>
      </c>
      <c r="AU93" s="5">
        <f t="shared" si="114"/>
        <v>1.6818666666666668</v>
      </c>
      <c r="AV93" s="5">
        <f t="shared" si="115"/>
        <v>0.33637333333333341</v>
      </c>
      <c r="AW93" s="5">
        <f t="shared" si="116"/>
        <v>5.2</v>
      </c>
      <c r="AX93" s="5">
        <f t="shared" si="117"/>
        <v>5.5500000000000007</v>
      </c>
      <c r="AY93" s="5">
        <f t="shared" si="118"/>
        <v>1.1100000000000001</v>
      </c>
      <c r="AZ93" s="5">
        <f t="shared" si="119"/>
        <v>1.8801786622748684</v>
      </c>
      <c r="BB93" s="163">
        <v>33</v>
      </c>
      <c r="BC93" s="118">
        <f t="shared" si="144"/>
        <v>49.5</v>
      </c>
      <c r="BD93" s="118">
        <f t="shared" si="143"/>
        <v>356.40000000000003</v>
      </c>
      <c r="BE93" s="167">
        <v>19.5</v>
      </c>
      <c r="BF93" s="118">
        <f t="shared" si="145"/>
        <v>140.4</v>
      </c>
      <c r="BG93" s="183"/>
      <c r="BH93" s="163"/>
      <c r="BI93" s="167"/>
      <c r="BJ93" s="167"/>
      <c r="BK93" s="167"/>
      <c r="BL93" s="167"/>
      <c r="BN93" s="5">
        <f t="shared" si="87"/>
        <v>4.883557324549737</v>
      </c>
      <c r="BO93" s="5">
        <f t="shared" si="88"/>
        <v>0</v>
      </c>
      <c r="BP93" s="5">
        <f t="shared" si="89"/>
        <v>0</v>
      </c>
      <c r="BQ93" s="5">
        <f t="shared" si="90"/>
        <v>0</v>
      </c>
      <c r="BR93" s="5">
        <f t="shared" si="91"/>
        <v>0</v>
      </c>
      <c r="BS93" s="163">
        <f t="shared" si="92"/>
        <v>1</v>
      </c>
      <c r="BT93" s="163">
        <f t="shared" si="93"/>
        <v>0</v>
      </c>
      <c r="BU93" s="163">
        <f t="shared" si="94"/>
        <v>0</v>
      </c>
      <c r="BV93" s="163">
        <f t="shared" si="95"/>
        <v>0</v>
      </c>
      <c r="BW93" s="163">
        <f t="shared" si="96"/>
        <v>0</v>
      </c>
      <c r="BX93" s="163">
        <f t="shared" si="97"/>
        <v>1</v>
      </c>
      <c r="BY93" s="163">
        <f t="shared" si="98"/>
        <v>0</v>
      </c>
      <c r="BZ93" s="163">
        <f t="shared" si="99"/>
        <v>0</v>
      </c>
      <c r="CA93" s="163">
        <f t="shared" si="100"/>
        <v>0</v>
      </c>
      <c r="CB93" s="163">
        <f t="shared" si="101"/>
        <v>0</v>
      </c>
      <c r="CC93" s="163">
        <f t="shared" si="120"/>
        <v>2</v>
      </c>
      <c r="CD93" s="163">
        <f t="shared" si="121"/>
        <v>0</v>
      </c>
      <c r="CE93" s="163">
        <f t="shared" si="122"/>
        <v>0</v>
      </c>
      <c r="CF93" s="163">
        <f t="shared" si="123"/>
        <v>0</v>
      </c>
      <c r="CG93" s="163">
        <f t="shared" si="124"/>
        <v>0</v>
      </c>
      <c r="CI93" s="167"/>
      <c r="CJ93" s="167"/>
      <c r="CK93" s="5"/>
      <c r="CL93" s="5"/>
      <c r="CM93" s="5" t="str">
        <f t="shared" si="126"/>
        <v/>
      </c>
      <c r="CN93" s="5" t="str">
        <f t="shared" si="127"/>
        <v/>
      </c>
      <c r="CO93" s="5" t="str">
        <f t="shared" si="128"/>
        <v/>
      </c>
      <c r="CP93" s="5" t="str">
        <f t="shared" si="141"/>
        <v/>
      </c>
      <c r="CQ93" s="5" t="str">
        <f t="shared" si="129"/>
        <v/>
      </c>
      <c r="CR93" s="5" t="str">
        <f t="shared" si="130"/>
        <v/>
      </c>
      <c r="CS93" s="5" t="str">
        <f t="shared" si="131"/>
        <v/>
      </c>
      <c r="CT93" s="50">
        <f t="shared" si="132"/>
        <v>0</v>
      </c>
      <c r="CU93" s="50">
        <f t="shared" si="133"/>
        <v>0</v>
      </c>
      <c r="CV93" s="50">
        <f t="shared" si="134"/>
        <v>0</v>
      </c>
      <c r="CW93" s="50">
        <f t="shared" si="135"/>
        <v>0</v>
      </c>
      <c r="CX93" s="190">
        <f t="shared" si="142"/>
        <v>0</v>
      </c>
      <c r="CZ93" s="1">
        <v>9.4</v>
      </c>
      <c r="DA93" s="167">
        <f t="shared" si="136"/>
        <v>1.7</v>
      </c>
      <c r="DB93" s="1">
        <f>Alcantarillas!AX98</f>
        <v>39.1</v>
      </c>
      <c r="DC93" s="5">
        <f t="shared" si="137"/>
        <v>624.81799999999998</v>
      </c>
      <c r="DE93" s="172">
        <f t="shared" si="138"/>
        <v>1287</v>
      </c>
      <c r="DF93" s="172">
        <f t="shared" si="139"/>
        <v>0</v>
      </c>
    </row>
    <row r="94" spans="14:110" x14ac:dyDescent="0.25">
      <c r="N94">
        <v>89</v>
      </c>
      <c r="O94" s="24">
        <f>Alcantarillas!E99</f>
        <v>23881.7</v>
      </c>
      <c r="P94" s="160">
        <f>IF(Alcantarillas!J99=1.2,1,0)</f>
        <v>0</v>
      </c>
      <c r="Q94" s="160">
        <f>IF(Alcantarillas!J99=1.3,1,0)</f>
        <v>0</v>
      </c>
      <c r="R94" s="160">
        <f>IF(Alcantarillas!J99=1.4,1,0)</f>
        <v>0</v>
      </c>
      <c r="S94" s="160">
        <f>IF(Alcantarillas!L99=1.2,1,0)</f>
        <v>0</v>
      </c>
      <c r="T94" s="160">
        <f>IF(Alcantarillas!L99=1.5,1,0)</f>
        <v>1</v>
      </c>
      <c r="V94" s="160">
        <f>IF(Alcantarillas!J99=1.2,Alcantarillas!AX99,0)</f>
        <v>0</v>
      </c>
      <c r="W94" s="160">
        <f>IF(Alcantarillas!J99=1.3,Alcantarillas!AX99,0)</f>
        <v>0</v>
      </c>
      <c r="X94" s="160">
        <f>IF(Alcantarillas!J99=1.4,Alcantarillas!AX99,0)</f>
        <v>0</v>
      </c>
      <c r="Y94" s="160">
        <f>IF(Alcantarillas!L99=1.2,Alcantarillas!AX99,0)</f>
        <v>0</v>
      </c>
      <c r="Z94" s="160">
        <f>IF(Alcantarillas!L99=1.5,Alcantarillas!AX99,0)</f>
        <v>29.5</v>
      </c>
      <c r="AB94" s="21">
        <v>2.8</v>
      </c>
      <c r="AC94" s="5">
        <f t="shared" si="102"/>
        <v>2.5</v>
      </c>
      <c r="AD94" s="21">
        <v>0.2</v>
      </c>
      <c r="AE94" s="5">
        <f t="shared" si="103"/>
        <v>2.25</v>
      </c>
      <c r="AF94" s="5">
        <f t="shared" si="104"/>
        <v>0.95000000000000007</v>
      </c>
      <c r="AG94" s="21">
        <v>2.12</v>
      </c>
      <c r="AH94" s="5">
        <f t="shared" si="105"/>
        <v>4.4378666666666664</v>
      </c>
      <c r="AI94" s="5">
        <f t="shared" si="106"/>
        <v>0.88757333333333333</v>
      </c>
      <c r="AJ94" s="5">
        <f t="shared" si="107"/>
        <v>5.5</v>
      </c>
      <c r="AK94" s="5">
        <f t="shared" si="108"/>
        <v>6</v>
      </c>
      <c r="AL94" s="5">
        <f t="shared" si="109"/>
        <v>1.2000000000000002</v>
      </c>
      <c r="AM94" s="5">
        <f t="shared" si="110"/>
        <v>3.0375733333333335</v>
      </c>
      <c r="AO94" s="21">
        <v>1.7</v>
      </c>
      <c r="AP94" s="5">
        <f t="shared" si="111"/>
        <v>2.5</v>
      </c>
      <c r="AQ94" s="21">
        <v>0.2</v>
      </c>
      <c r="AR94" s="5">
        <f t="shared" si="112"/>
        <v>2.25</v>
      </c>
      <c r="AS94" s="5">
        <f t="shared" si="113"/>
        <v>0.4</v>
      </c>
      <c r="AT94" s="21">
        <v>2.12</v>
      </c>
      <c r="AU94" s="5">
        <f t="shared" si="114"/>
        <v>2.1058666666666666</v>
      </c>
      <c r="AV94" s="5">
        <f t="shared" si="115"/>
        <v>0.42117333333333334</v>
      </c>
      <c r="AW94" s="5">
        <f t="shared" si="116"/>
        <v>5.5</v>
      </c>
      <c r="AX94" s="5">
        <f t="shared" si="117"/>
        <v>6</v>
      </c>
      <c r="AY94" s="5">
        <f t="shared" si="118"/>
        <v>1.2000000000000002</v>
      </c>
      <c r="AZ94" s="5">
        <f t="shared" si="119"/>
        <v>2.0211733333333335</v>
      </c>
      <c r="BB94" s="163">
        <v>28</v>
      </c>
      <c r="BC94" s="118">
        <f t="shared" si="144"/>
        <v>42</v>
      </c>
      <c r="BD94" s="118">
        <f t="shared" si="143"/>
        <v>315</v>
      </c>
      <c r="BE94" s="167">
        <v>18</v>
      </c>
      <c r="BF94" s="118">
        <f t="shared" si="145"/>
        <v>135</v>
      </c>
      <c r="BG94" s="183"/>
      <c r="BH94" s="163"/>
      <c r="BI94" s="167"/>
      <c r="BJ94" s="167"/>
      <c r="BK94" s="167"/>
      <c r="BL94" s="167"/>
      <c r="BN94" s="5">
        <f t="shared" si="87"/>
        <v>0</v>
      </c>
      <c r="BO94" s="5">
        <f t="shared" si="88"/>
        <v>0</v>
      </c>
      <c r="BP94" s="5">
        <f t="shared" si="89"/>
        <v>0</v>
      </c>
      <c r="BQ94" s="5">
        <f t="shared" si="90"/>
        <v>0</v>
      </c>
      <c r="BR94" s="5">
        <f t="shared" si="91"/>
        <v>5.0587466666666669</v>
      </c>
      <c r="BS94" s="163">
        <f t="shared" si="92"/>
        <v>0</v>
      </c>
      <c r="BT94" s="163">
        <f t="shared" si="93"/>
        <v>0</v>
      </c>
      <c r="BU94" s="163">
        <f t="shared" si="94"/>
        <v>0</v>
      </c>
      <c r="BV94" s="163">
        <f t="shared" si="95"/>
        <v>0</v>
      </c>
      <c r="BW94" s="163">
        <f t="shared" si="96"/>
        <v>1</v>
      </c>
      <c r="BX94" s="163">
        <f t="shared" si="97"/>
        <v>0</v>
      </c>
      <c r="BY94" s="163">
        <f t="shared" si="98"/>
        <v>0</v>
      </c>
      <c r="BZ94" s="163">
        <f t="shared" si="99"/>
        <v>0</v>
      </c>
      <c r="CA94" s="163">
        <f t="shared" si="100"/>
        <v>0</v>
      </c>
      <c r="CB94" s="163">
        <f t="shared" si="101"/>
        <v>1</v>
      </c>
      <c r="CC94" s="163">
        <f t="shared" si="120"/>
        <v>0</v>
      </c>
      <c r="CD94" s="163">
        <f t="shared" si="121"/>
        <v>0</v>
      </c>
      <c r="CE94" s="163">
        <f t="shared" si="122"/>
        <v>0</v>
      </c>
      <c r="CF94" s="163">
        <f t="shared" si="123"/>
        <v>0</v>
      </c>
      <c r="CG94" s="163">
        <f t="shared" si="124"/>
        <v>2</v>
      </c>
      <c r="CI94" s="167"/>
      <c r="CJ94" s="167"/>
      <c r="CK94" s="5"/>
      <c r="CL94" s="5" t="str">
        <f t="shared" si="125"/>
        <v/>
      </c>
      <c r="CM94" s="5" t="str">
        <f t="shared" si="126"/>
        <v/>
      </c>
      <c r="CN94" s="5" t="str">
        <f t="shared" si="127"/>
        <v/>
      </c>
      <c r="CO94" s="5"/>
      <c r="CP94" s="5" t="str">
        <f t="shared" si="141"/>
        <v/>
      </c>
      <c r="CQ94" s="5" t="str">
        <f t="shared" si="129"/>
        <v/>
      </c>
      <c r="CR94" s="5" t="str">
        <f t="shared" si="130"/>
        <v/>
      </c>
      <c r="CS94" s="5" t="str">
        <f t="shared" si="131"/>
        <v/>
      </c>
      <c r="CT94" s="50">
        <f t="shared" si="132"/>
        <v>0</v>
      </c>
      <c r="CU94" s="50">
        <f t="shared" si="133"/>
        <v>0</v>
      </c>
      <c r="CV94" s="50">
        <f t="shared" si="134"/>
        <v>0</v>
      </c>
      <c r="CW94" s="50">
        <f t="shared" si="135"/>
        <v>0</v>
      </c>
      <c r="CX94" s="190">
        <f t="shared" si="142"/>
        <v>0</v>
      </c>
      <c r="CZ94" s="1">
        <v>5.45</v>
      </c>
      <c r="DA94" s="167">
        <f t="shared" si="136"/>
        <v>1.8</v>
      </c>
      <c r="DB94" s="1">
        <f>Alcantarillas!AX99</f>
        <v>29.5</v>
      </c>
      <c r="DC94" s="5">
        <f t="shared" si="137"/>
        <v>289.39500000000004</v>
      </c>
      <c r="DE94" s="172">
        <f t="shared" si="138"/>
        <v>1134</v>
      </c>
      <c r="DF94" s="172">
        <f t="shared" si="139"/>
        <v>0</v>
      </c>
    </row>
    <row r="95" spans="14:110" x14ac:dyDescent="0.25">
      <c r="N95">
        <v>90</v>
      </c>
      <c r="O95" s="24">
        <f>Alcantarillas!E100</f>
        <v>24008.2</v>
      </c>
      <c r="P95" s="160">
        <f>IF(Alcantarillas!J100=1.2,1,0)</f>
        <v>1</v>
      </c>
      <c r="Q95" s="160">
        <f>IF(Alcantarillas!J100=1.3,1,0)</f>
        <v>0</v>
      </c>
      <c r="R95" s="160">
        <f>IF(Alcantarillas!J100=1.4,1,0)</f>
        <v>0</v>
      </c>
      <c r="S95" s="160">
        <f>IF(Alcantarillas!L100=1.2,1,0)</f>
        <v>0</v>
      </c>
      <c r="T95" s="160">
        <f>IF(Alcantarillas!L100=1.5,1,0)</f>
        <v>0</v>
      </c>
      <c r="V95" s="160">
        <f>IF(Alcantarillas!J100=1.2,Alcantarillas!AX100,0)</f>
        <v>19.600000000000001</v>
      </c>
      <c r="W95" s="160">
        <f>IF(Alcantarillas!J100=1.3,Alcantarillas!AX100,0)</f>
        <v>0</v>
      </c>
      <c r="X95" s="160">
        <f>IF(Alcantarillas!J100=1.4,Alcantarillas!AX100,0)</f>
        <v>0</v>
      </c>
      <c r="Y95" s="160">
        <f>IF(Alcantarillas!L100=1.2,Alcantarillas!AX100,0)</f>
        <v>0</v>
      </c>
      <c r="Z95" s="160">
        <f>IF(Alcantarillas!L100=1.5,Alcantarillas!AX100,0)</f>
        <v>0</v>
      </c>
      <c r="AB95" s="21">
        <v>2.2999999999999998</v>
      </c>
      <c r="AC95" s="5">
        <f t="shared" si="102"/>
        <v>2.2000000000000002</v>
      </c>
      <c r="AD95" s="21">
        <v>0.2</v>
      </c>
      <c r="AE95" s="5">
        <f t="shared" si="103"/>
        <v>1.1309733552923256</v>
      </c>
      <c r="AF95" s="5">
        <f t="shared" si="104"/>
        <v>0.78580532894153488</v>
      </c>
      <c r="AG95" s="21">
        <v>2.12</v>
      </c>
      <c r="AH95" s="5">
        <f t="shared" si="105"/>
        <v>3.3778666666666659</v>
      </c>
      <c r="AI95" s="5">
        <f t="shared" si="106"/>
        <v>0.67557333333333325</v>
      </c>
      <c r="AJ95" s="5">
        <f t="shared" si="107"/>
        <v>5.2</v>
      </c>
      <c r="AK95" s="5">
        <f t="shared" si="108"/>
        <v>5.5500000000000007</v>
      </c>
      <c r="AL95" s="5">
        <f t="shared" si="109"/>
        <v>1.1100000000000001</v>
      </c>
      <c r="AM95" s="5">
        <f t="shared" si="110"/>
        <v>2.571378662274868</v>
      </c>
      <c r="AO95" s="21">
        <v>1.5</v>
      </c>
      <c r="AP95" s="5">
        <f t="shared" si="111"/>
        <v>2.2000000000000002</v>
      </c>
      <c r="AQ95" s="21">
        <v>0.2</v>
      </c>
      <c r="AR95" s="5">
        <f t="shared" si="112"/>
        <v>1.1309733552923256</v>
      </c>
      <c r="AS95" s="5">
        <f t="shared" si="113"/>
        <v>0.4338053289415349</v>
      </c>
      <c r="AT95" s="21">
        <v>2.12</v>
      </c>
      <c r="AU95" s="5">
        <f t="shared" si="114"/>
        <v>1.6818666666666668</v>
      </c>
      <c r="AV95" s="5">
        <f t="shared" si="115"/>
        <v>0.33637333333333341</v>
      </c>
      <c r="AW95" s="5">
        <f t="shared" si="116"/>
        <v>5.2</v>
      </c>
      <c r="AX95" s="5">
        <f t="shared" si="117"/>
        <v>5.5500000000000007</v>
      </c>
      <c r="AY95" s="5">
        <f t="shared" si="118"/>
        <v>1.1100000000000001</v>
      </c>
      <c r="AZ95" s="5">
        <f t="shared" si="119"/>
        <v>1.8801786622748684</v>
      </c>
      <c r="BB95" s="163">
        <v>10</v>
      </c>
      <c r="BC95" s="118">
        <f t="shared" si="144"/>
        <v>15</v>
      </c>
      <c r="BD95" s="118">
        <f t="shared" si="143"/>
        <v>108</v>
      </c>
      <c r="BE95" s="167">
        <v>11</v>
      </c>
      <c r="BF95" s="118">
        <f t="shared" si="145"/>
        <v>79.2</v>
      </c>
      <c r="BG95" s="183"/>
      <c r="BH95" s="163"/>
      <c r="BI95" s="168"/>
      <c r="BJ95" s="167"/>
      <c r="BK95" s="167"/>
      <c r="BL95" s="167"/>
      <c r="BN95" s="5">
        <f t="shared" si="87"/>
        <v>4.4515573245497366</v>
      </c>
      <c r="BO95" s="5">
        <f t="shared" si="88"/>
        <v>0</v>
      </c>
      <c r="BP95" s="5">
        <f t="shared" si="89"/>
        <v>0</v>
      </c>
      <c r="BQ95" s="5">
        <f t="shared" si="90"/>
        <v>0</v>
      </c>
      <c r="BR95" s="5">
        <f t="shared" si="91"/>
        <v>0</v>
      </c>
      <c r="BS95" s="163">
        <f t="shared" si="92"/>
        <v>1</v>
      </c>
      <c r="BT95" s="163">
        <f t="shared" si="93"/>
        <v>0</v>
      </c>
      <c r="BU95" s="163">
        <f t="shared" si="94"/>
        <v>0</v>
      </c>
      <c r="BV95" s="163">
        <f t="shared" si="95"/>
        <v>0</v>
      </c>
      <c r="BW95" s="163">
        <f t="shared" si="96"/>
        <v>0</v>
      </c>
      <c r="BX95" s="163">
        <f t="shared" si="97"/>
        <v>1</v>
      </c>
      <c r="BY95" s="163">
        <f t="shared" si="98"/>
        <v>0</v>
      </c>
      <c r="BZ95" s="163">
        <f t="shared" si="99"/>
        <v>0</v>
      </c>
      <c r="CA95" s="163">
        <f t="shared" si="100"/>
        <v>0</v>
      </c>
      <c r="CB95" s="163">
        <f t="shared" si="101"/>
        <v>0</v>
      </c>
      <c r="CC95" s="163">
        <f t="shared" si="120"/>
        <v>2</v>
      </c>
      <c r="CD95" s="163">
        <f t="shared" si="121"/>
        <v>0</v>
      </c>
      <c r="CE95" s="163">
        <f t="shared" si="122"/>
        <v>0</v>
      </c>
      <c r="CF95" s="163">
        <f t="shared" si="123"/>
        <v>0</v>
      </c>
      <c r="CG95" s="163">
        <f t="shared" si="124"/>
        <v>0</v>
      </c>
      <c r="CI95" s="167"/>
      <c r="CJ95" s="167"/>
      <c r="CK95" s="5"/>
      <c r="CL95" s="5"/>
      <c r="CM95" s="5" t="str">
        <f t="shared" si="126"/>
        <v/>
      </c>
      <c r="CN95" s="5" t="str">
        <f t="shared" si="127"/>
        <v/>
      </c>
      <c r="CO95" s="5" t="str">
        <f t="shared" si="128"/>
        <v/>
      </c>
      <c r="CP95" s="5" t="str">
        <f t="shared" si="141"/>
        <v/>
      </c>
      <c r="CQ95" s="5" t="str">
        <f t="shared" si="129"/>
        <v/>
      </c>
      <c r="CR95" s="5" t="str">
        <f t="shared" si="130"/>
        <v/>
      </c>
      <c r="CS95" s="5" t="str">
        <f t="shared" si="131"/>
        <v/>
      </c>
      <c r="CT95" s="50">
        <f t="shared" si="132"/>
        <v>0</v>
      </c>
      <c r="CU95" s="50">
        <f t="shared" si="133"/>
        <v>0</v>
      </c>
      <c r="CV95" s="50">
        <f t="shared" si="134"/>
        <v>0</v>
      </c>
      <c r="CW95" s="50">
        <f t="shared" si="135"/>
        <v>0</v>
      </c>
      <c r="CX95" s="190">
        <f t="shared" si="142"/>
        <v>0</v>
      </c>
      <c r="CZ95" s="1">
        <v>3.5</v>
      </c>
      <c r="DA95" s="167">
        <f t="shared" si="136"/>
        <v>1.7</v>
      </c>
      <c r="DB95" s="1">
        <f>Alcantarillas!AX100</f>
        <v>19.600000000000001</v>
      </c>
      <c r="DC95" s="5">
        <f t="shared" si="137"/>
        <v>116.62000000000002</v>
      </c>
      <c r="DE95" s="172">
        <f t="shared" si="138"/>
        <v>390</v>
      </c>
      <c r="DF95" s="172">
        <f t="shared" si="139"/>
        <v>0</v>
      </c>
    </row>
    <row r="96" spans="14:110" x14ac:dyDescent="0.25">
      <c r="N96">
        <v>91</v>
      </c>
      <c r="O96" s="24">
        <f>Alcantarillas!E101</f>
        <v>24094</v>
      </c>
      <c r="P96" s="160">
        <f>IF(Alcantarillas!J101=1.2,1,0)</f>
        <v>1</v>
      </c>
      <c r="Q96" s="160">
        <f>IF(Alcantarillas!J101=1.3,1,0)</f>
        <v>0</v>
      </c>
      <c r="R96" s="160">
        <f>IF(Alcantarillas!J101=1.4,1,0)</f>
        <v>0</v>
      </c>
      <c r="S96" s="160">
        <f>IF(Alcantarillas!L101=1.2,1,0)</f>
        <v>0</v>
      </c>
      <c r="T96" s="160">
        <f>IF(Alcantarillas!L101=1.5,1,0)</f>
        <v>0</v>
      </c>
      <c r="V96" s="160">
        <f>IF(Alcantarillas!J101=1.2,Alcantarillas!AX101,0)</f>
        <v>18.2</v>
      </c>
      <c r="W96" s="160">
        <f>IF(Alcantarillas!J101=1.3,Alcantarillas!AX101,0)</f>
        <v>0</v>
      </c>
      <c r="X96" s="160">
        <f>IF(Alcantarillas!J101=1.4,Alcantarillas!AX101,0)</f>
        <v>0</v>
      </c>
      <c r="Y96" s="160">
        <f>IF(Alcantarillas!L101=1.2,Alcantarillas!AX101,0)</f>
        <v>0</v>
      </c>
      <c r="Z96" s="160">
        <f>IF(Alcantarillas!L101=1.5,Alcantarillas!AX101,0)</f>
        <v>0</v>
      </c>
      <c r="AB96" s="21"/>
      <c r="AC96" s="5">
        <f t="shared" si="102"/>
        <v>2.2000000000000002</v>
      </c>
      <c r="AD96" s="21"/>
      <c r="AE96" s="5">
        <f t="shared" si="103"/>
        <v>1.1309733552923256</v>
      </c>
      <c r="AF96" s="5">
        <f t="shared" si="104"/>
        <v>0</v>
      </c>
      <c r="AG96" s="21"/>
      <c r="AH96" s="5">
        <f t="shared" si="105"/>
        <v>0</v>
      </c>
      <c r="AI96" s="5">
        <f t="shared" si="106"/>
        <v>0</v>
      </c>
      <c r="AJ96" s="5">
        <f t="shared" si="107"/>
        <v>5.2</v>
      </c>
      <c r="AK96" s="5">
        <f t="shared" si="108"/>
        <v>5.5500000000000007</v>
      </c>
      <c r="AL96" s="5">
        <f t="shared" si="109"/>
        <v>0</v>
      </c>
      <c r="AM96" s="5">
        <f t="shared" si="110"/>
        <v>0</v>
      </c>
      <c r="AO96" s="21">
        <v>2.1</v>
      </c>
      <c r="AP96" s="5">
        <f t="shared" si="111"/>
        <v>2.2000000000000002</v>
      </c>
      <c r="AQ96" s="21">
        <v>0.2</v>
      </c>
      <c r="AR96" s="5">
        <f t="shared" si="112"/>
        <v>1.1309733552923256</v>
      </c>
      <c r="AS96" s="5">
        <f t="shared" si="113"/>
        <v>0.69780532894153513</v>
      </c>
      <c r="AT96" s="21">
        <v>2.12</v>
      </c>
      <c r="AU96" s="5">
        <f t="shared" si="114"/>
        <v>2.9538666666666673</v>
      </c>
      <c r="AV96" s="5">
        <f t="shared" si="115"/>
        <v>0.59077333333333348</v>
      </c>
      <c r="AW96" s="5">
        <f t="shared" si="116"/>
        <v>5.2</v>
      </c>
      <c r="AX96" s="5">
        <f t="shared" si="117"/>
        <v>5.5500000000000007</v>
      </c>
      <c r="AY96" s="5">
        <f t="shared" si="118"/>
        <v>1.1100000000000001</v>
      </c>
      <c r="AZ96" s="5">
        <f t="shared" si="119"/>
        <v>2.3985786622748684</v>
      </c>
      <c r="BB96" s="163"/>
      <c r="BC96" s="118"/>
      <c r="BD96" s="118"/>
      <c r="BE96" s="118"/>
      <c r="BF96" s="118"/>
      <c r="BG96" s="183"/>
      <c r="BH96" s="163"/>
      <c r="BI96" s="167"/>
      <c r="BJ96" s="167"/>
      <c r="BK96" s="167"/>
      <c r="BL96" s="167"/>
      <c r="BN96" s="5">
        <f t="shared" si="87"/>
        <v>2.3985786622748684</v>
      </c>
      <c r="BO96" s="5">
        <f t="shared" si="88"/>
        <v>0</v>
      </c>
      <c r="BP96" s="5">
        <f t="shared" si="89"/>
        <v>0</v>
      </c>
      <c r="BQ96" s="5">
        <f t="shared" si="90"/>
        <v>0</v>
      </c>
      <c r="BR96" s="5">
        <f t="shared" si="91"/>
        <v>0</v>
      </c>
      <c r="BS96" s="163">
        <f t="shared" si="92"/>
        <v>0</v>
      </c>
      <c r="BT96" s="163">
        <f t="shared" si="93"/>
        <v>0</v>
      </c>
      <c r="BU96" s="163">
        <f t="shared" si="94"/>
        <v>0</v>
      </c>
      <c r="BV96" s="163">
        <f t="shared" si="95"/>
        <v>0</v>
      </c>
      <c r="BW96" s="163">
        <f t="shared" si="96"/>
        <v>0</v>
      </c>
      <c r="BX96" s="163">
        <f t="shared" si="97"/>
        <v>1</v>
      </c>
      <c r="BY96" s="163">
        <f t="shared" si="98"/>
        <v>0</v>
      </c>
      <c r="BZ96" s="163">
        <f t="shared" si="99"/>
        <v>0</v>
      </c>
      <c r="CA96" s="163">
        <f t="shared" si="100"/>
        <v>0</v>
      </c>
      <c r="CB96" s="163">
        <f t="shared" si="101"/>
        <v>0</v>
      </c>
      <c r="CC96" s="163">
        <f t="shared" si="120"/>
        <v>1</v>
      </c>
      <c r="CD96" s="163">
        <f t="shared" si="121"/>
        <v>0</v>
      </c>
      <c r="CE96" s="163">
        <f t="shared" si="122"/>
        <v>0</v>
      </c>
      <c r="CF96" s="163">
        <f t="shared" si="123"/>
        <v>0</v>
      </c>
      <c r="CG96" s="163">
        <f t="shared" si="124"/>
        <v>0</v>
      </c>
      <c r="CI96" s="167">
        <v>5.4</v>
      </c>
      <c r="CJ96" s="167">
        <v>2.6</v>
      </c>
      <c r="CK96" s="5">
        <f t="shared" si="140"/>
        <v>8.8000000000000007</v>
      </c>
      <c r="CL96" s="5">
        <f t="shared" si="125"/>
        <v>1.7</v>
      </c>
      <c r="CM96" s="5" t="str">
        <f t="shared" si="126"/>
        <v/>
      </c>
      <c r="CN96" s="5" t="str">
        <f t="shared" si="127"/>
        <v/>
      </c>
      <c r="CO96" s="5" t="str">
        <f t="shared" si="128"/>
        <v/>
      </c>
      <c r="CP96" s="5">
        <f t="shared" si="141"/>
        <v>2.2949999999999999</v>
      </c>
      <c r="CQ96" s="5" t="str">
        <f t="shared" si="129"/>
        <v/>
      </c>
      <c r="CR96" s="5" t="str">
        <f t="shared" si="130"/>
        <v/>
      </c>
      <c r="CS96" s="5" t="str">
        <f t="shared" si="131"/>
        <v/>
      </c>
      <c r="CT96" s="50">
        <f t="shared" si="132"/>
        <v>1</v>
      </c>
      <c r="CU96" s="50">
        <f t="shared" si="133"/>
        <v>0</v>
      </c>
      <c r="CV96" s="50">
        <f t="shared" si="134"/>
        <v>0</v>
      </c>
      <c r="CW96" s="50">
        <f t="shared" si="135"/>
        <v>0</v>
      </c>
      <c r="CX96" s="190">
        <f t="shared" si="142"/>
        <v>1</v>
      </c>
      <c r="CZ96" s="1">
        <v>2.35</v>
      </c>
      <c r="DA96" s="167">
        <f t="shared" si="136"/>
        <v>1.7</v>
      </c>
      <c r="DB96" s="1">
        <f>Alcantarillas!AX101</f>
        <v>18.2</v>
      </c>
      <c r="DC96" s="5">
        <f t="shared" si="137"/>
        <v>72.709000000000003</v>
      </c>
      <c r="DE96" s="172">
        <f t="shared" si="138"/>
        <v>0</v>
      </c>
      <c r="DF96" s="172">
        <f t="shared" si="139"/>
        <v>0</v>
      </c>
    </row>
    <row r="97" spans="14:110" x14ac:dyDescent="0.25">
      <c r="N97">
        <v>92</v>
      </c>
      <c r="O97" s="24">
        <f>Alcantarillas!E102</f>
        <v>24300.5</v>
      </c>
      <c r="P97" s="160">
        <f>IF(Alcantarillas!J102=1.2,1,0)</f>
        <v>1</v>
      </c>
      <c r="Q97" s="160">
        <f>IF(Alcantarillas!J102=1.3,1,0)</f>
        <v>0</v>
      </c>
      <c r="R97" s="160">
        <f>IF(Alcantarillas!J102=1.4,1,0)</f>
        <v>0</v>
      </c>
      <c r="S97" s="160">
        <f>IF(Alcantarillas!L102=1.2,1,0)</f>
        <v>0</v>
      </c>
      <c r="T97" s="160">
        <f>IF(Alcantarillas!L102=1.5,1,0)</f>
        <v>0</v>
      </c>
      <c r="V97" s="160">
        <f>IF(Alcantarillas!J102=1.2,Alcantarillas!AX102,0)</f>
        <v>13.3</v>
      </c>
      <c r="W97" s="160">
        <f>IF(Alcantarillas!J102=1.3,Alcantarillas!AX102,0)</f>
        <v>0</v>
      </c>
      <c r="X97" s="160">
        <f>IF(Alcantarillas!J102=1.4,Alcantarillas!AX102,0)</f>
        <v>0</v>
      </c>
      <c r="Y97" s="160">
        <f>IF(Alcantarillas!L102=1.2,Alcantarillas!AX102,0)</f>
        <v>0</v>
      </c>
      <c r="Z97" s="160">
        <f>IF(Alcantarillas!L102=1.5,Alcantarillas!AX102,0)</f>
        <v>0</v>
      </c>
      <c r="AB97" s="21">
        <v>1.95</v>
      </c>
      <c r="AC97" s="5">
        <f t="shared" si="102"/>
        <v>2.2000000000000002</v>
      </c>
      <c r="AD97" s="21">
        <v>0.2</v>
      </c>
      <c r="AE97" s="5">
        <f t="shared" si="103"/>
        <v>1.1309733552923256</v>
      </c>
      <c r="AF97" s="5">
        <f t="shared" si="104"/>
        <v>0.63180532894153496</v>
      </c>
      <c r="AG97" s="21">
        <v>2.12</v>
      </c>
      <c r="AH97" s="5">
        <f t="shared" si="105"/>
        <v>2.6358666666666668</v>
      </c>
      <c r="AI97" s="5">
        <f t="shared" si="106"/>
        <v>0.52717333333333338</v>
      </c>
      <c r="AJ97" s="5">
        <f t="shared" si="107"/>
        <v>5.2</v>
      </c>
      <c r="AK97" s="5">
        <f t="shared" si="108"/>
        <v>5.5500000000000007</v>
      </c>
      <c r="AL97" s="5">
        <f t="shared" si="109"/>
        <v>1.1100000000000001</v>
      </c>
      <c r="AM97" s="5">
        <f t="shared" si="110"/>
        <v>2.2689786622748684</v>
      </c>
      <c r="AO97" s="21">
        <v>1.5</v>
      </c>
      <c r="AP97" s="5">
        <f t="shared" si="111"/>
        <v>2.2000000000000002</v>
      </c>
      <c r="AQ97" s="21">
        <v>0.2</v>
      </c>
      <c r="AR97" s="5">
        <f t="shared" si="112"/>
        <v>1.1309733552923256</v>
      </c>
      <c r="AS97" s="5">
        <f t="shared" si="113"/>
        <v>0.4338053289415349</v>
      </c>
      <c r="AT97" s="21">
        <v>2.12</v>
      </c>
      <c r="AU97" s="5">
        <f t="shared" si="114"/>
        <v>1.6818666666666668</v>
      </c>
      <c r="AV97" s="5">
        <f t="shared" si="115"/>
        <v>0.33637333333333341</v>
      </c>
      <c r="AW97" s="5">
        <f t="shared" si="116"/>
        <v>5.2</v>
      </c>
      <c r="AX97" s="5">
        <f t="shared" si="117"/>
        <v>5.5500000000000007</v>
      </c>
      <c r="AY97" s="5">
        <f t="shared" si="118"/>
        <v>1.1100000000000001</v>
      </c>
      <c r="AZ97" s="5">
        <f t="shared" si="119"/>
        <v>1.8801786622748684</v>
      </c>
      <c r="BB97" s="163">
        <v>5</v>
      </c>
      <c r="BC97" s="118">
        <f t="shared" si="144"/>
        <v>7.5</v>
      </c>
      <c r="BD97" s="118">
        <f t="shared" si="143"/>
        <v>54</v>
      </c>
      <c r="BE97" s="167">
        <v>8.5</v>
      </c>
      <c r="BF97" s="118">
        <f t="shared" si="145"/>
        <v>61.2</v>
      </c>
      <c r="BG97" s="183"/>
      <c r="BH97" s="163"/>
      <c r="BI97" s="167"/>
      <c r="BJ97" s="167"/>
      <c r="BK97" s="167"/>
      <c r="BL97" s="167"/>
      <c r="BN97" s="5">
        <f t="shared" si="87"/>
        <v>4.1491573245497371</v>
      </c>
      <c r="BO97" s="5">
        <f t="shared" si="88"/>
        <v>0</v>
      </c>
      <c r="BP97" s="5">
        <f t="shared" si="89"/>
        <v>0</v>
      </c>
      <c r="BQ97" s="5">
        <f t="shared" si="90"/>
        <v>0</v>
      </c>
      <c r="BR97" s="5">
        <f t="shared" si="91"/>
        <v>0</v>
      </c>
      <c r="BS97" s="163">
        <f t="shared" si="92"/>
        <v>1</v>
      </c>
      <c r="BT97" s="163">
        <f t="shared" si="93"/>
        <v>0</v>
      </c>
      <c r="BU97" s="163">
        <f t="shared" si="94"/>
        <v>0</v>
      </c>
      <c r="BV97" s="163">
        <f t="shared" si="95"/>
        <v>0</v>
      </c>
      <c r="BW97" s="163">
        <f t="shared" si="96"/>
        <v>0</v>
      </c>
      <c r="BX97" s="163">
        <f t="shared" si="97"/>
        <v>1</v>
      </c>
      <c r="BY97" s="163">
        <f t="shared" si="98"/>
        <v>0</v>
      </c>
      <c r="BZ97" s="163">
        <f t="shared" si="99"/>
        <v>0</v>
      </c>
      <c r="CA97" s="163">
        <f t="shared" si="100"/>
        <v>0</v>
      </c>
      <c r="CB97" s="163">
        <f t="shared" si="101"/>
        <v>0</v>
      </c>
      <c r="CC97" s="163">
        <f t="shared" si="120"/>
        <v>2</v>
      </c>
      <c r="CD97" s="163">
        <f t="shared" si="121"/>
        <v>0</v>
      </c>
      <c r="CE97" s="163">
        <f t="shared" si="122"/>
        <v>0</v>
      </c>
      <c r="CF97" s="163">
        <f t="shared" si="123"/>
        <v>0</v>
      </c>
      <c r="CG97" s="163">
        <f t="shared" si="124"/>
        <v>0</v>
      </c>
      <c r="CI97" s="167"/>
      <c r="CJ97" s="167"/>
      <c r="CK97" s="5"/>
      <c r="CL97" s="5"/>
      <c r="CM97" s="5" t="str">
        <f t="shared" si="126"/>
        <v/>
      </c>
      <c r="CN97" s="5" t="str">
        <f t="shared" si="127"/>
        <v/>
      </c>
      <c r="CO97" s="5" t="str">
        <f t="shared" si="128"/>
        <v/>
      </c>
      <c r="CP97" s="5" t="str">
        <f t="shared" si="141"/>
        <v/>
      </c>
      <c r="CQ97" s="5" t="str">
        <f t="shared" si="129"/>
        <v/>
      </c>
      <c r="CR97" s="5" t="str">
        <f t="shared" si="130"/>
        <v/>
      </c>
      <c r="CS97" s="5" t="str">
        <f t="shared" si="131"/>
        <v/>
      </c>
      <c r="CT97" s="50">
        <f t="shared" si="132"/>
        <v>0</v>
      </c>
      <c r="CU97" s="50">
        <f t="shared" si="133"/>
        <v>0</v>
      </c>
      <c r="CV97" s="50">
        <f t="shared" si="134"/>
        <v>0</v>
      </c>
      <c r="CW97" s="50">
        <f t="shared" si="135"/>
        <v>0</v>
      </c>
      <c r="CX97" s="190">
        <f t="shared" si="142"/>
        <v>0</v>
      </c>
      <c r="CZ97" s="1">
        <v>2.4500000000000002</v>
      </c>
      <c r="DA97" s="167">
        <f t="shared" si="136"/>
        <v>1.7</v>
      </c>
      <c r="DB97" s="1">
        <f>Alcantarillas!AX102</f>
        <v>13.3</v>
      </c>
      <c r="DC97" s="5">
        <f t="shared" si="137"/>
        <v>55.394500000000001</v>
      </c>
      <c r="DE97" s="172">
        <f t="shared" si="138"/>
        <v>195</v>
      </c>
      <c r="DF97" s="172">
        <f t="shared" si="139"/>
        <v>0</v>
      </c>
    </row>
    <row r="98" spans="14:110" x14ac:dyDescent="0.25">
      <c r="N98">
        <v>93</v>
      </c>
      <c r="O98" s="24">
        <f>Alcantarillas!E103</f>
        <v>24422</v>
      </c>
      <c r="P98" s="160">
        <f>IF(Alcantarillas!J103=1.2,1,0)</f>
        <v>1</v>
      </c>
      <c r="Q98" s="160">
        <f>IF(Alcantarillas!J103=1.3,1,0)</f>
        <v>0</v>
      </c>
      <c r="R98" s="160">
        <f>IF(Alcantarillas!J103=1.4,1,0)</f>
        <v>0</v>
      </c>
      <c r="S98" s="160">
        <f>IF(Alcantarillas!L103=1.2,1,0)</f>
        <v>0</v>
      </c>
      <c r="T98" s="160">
        <f>IF(Alcantarillas!L103=1.5,1,0)</f>
        <v>0</v>
      </c>
      <c r="V98" s="160">
        <f>IF(Alcantarillas!J103=1.2,Alcantarillas!AX103,0)</f>
        <v>23.05</v>
      </c>
      <c r="W98" s="160">
        <f>IF(Alcantarillas!J103=1.3,Alcantarillas!AX103,0)</f>
        <v>0</v>
      </c>
      <c r="X98" s="160">
        <f>IF(Alcantarillas!J103=1.4,Alcantarillas!AX103,0)</f>
        <v>0</v>
      </c>
      <c r="Y98" s="160">
        <f>IF(Alcantarillas!L103=1.2,Alcantarillas!AX103,0)</f>
        <v>0</v>
      </c>
      <c r="Z98" s="160">
        <f>IF(Alcantarillas!L103=1.5,Alcantarillas!AX103,0)</f>
        <v>0</v>
      </c>
      <c r="AB98" s="21">
        <v>2.1</v>
      </c>
      <c r="AC98" s="5">
        <f t="shared" si="102"/>
        <v>2.2000000000000002</v>
      </c>
      <c r="AD98" s="21">
        <v>0.2</v>
      </c>
      <c r="AE98" s="5">
        <f t="shared" si="103"/>
        <v>1.1309733552923256</v>
      </c>
      <c r="AF98" s="5">
        <f t="shared" si="104"/>
        <v>0.69780532894153513</v>
      </c>
      <c r="AG98" s="21">
        <v>2.12</v>
      </c>
      <c r="AH98" s="5">
        <f t="shared" si="105"/>
        <v>2.9538666666666673</v>
      </c>
      <c r="AI98" s="5">
        <f t="shared" si="106"/>
        <v>0.59077333333333348</v>
      </c>
      <c r="AJ98" s="5">
        <f t="shared" si="107"/>
        <v>5.2</v>
      </c>
      <c r="AK98" s="5">
        <f t="shared" si="108"/>
        <v>5.5500000000000007</v>
      </c>
      <c r="AL98" s="5">
        <f t="shared" si="109"/>
        <v>1.1100000000000001</v>
      </c>
      <c r="AM98" s="5">
        <f t="shared" si="110"/>
        <v>2.3985786622748684</v>
      </c>
      <c r="AO98" s="21">
        <v>1.5</v>
      </c>
      <c r="AP98" s="5">
        <f t="shared" si="111"/>
        <v>2.2000000000000002</v>
      </c>
      <c r="AQ98" s="21">
        <v>0.2</v>
      </c>
      <c r="AR98" s="5">
        <f t="shared" si="112"/>
        <v>1.1309733552923256</v>
      </c>
      <c r="AS98" s="5">
        <f t="shared" si="113"/>
        <v>0.4338053289415349</v>
      </c>
      <c r="AT98" s="21">
        <v>2.12</v>
      </c>
      <c r="AU98" s="5">
        <f t="shared" si="114"/>
        <v>1.6818666666666668</v>
      </c>
      <c r="AV98" s="5">
        <f t="shared" si="115"/>
        <v>0.33637333333333341</v>
      </c>
      <c r="AW98" s="5">
        <f t="shared" si="116"/>
        <v>5.2</v>
      </c>
      <c r="AX98" s="5">
        <f t="shared" si="117"/>
        <v>5.5500000000000007</v>
      </c>
      <c r="AY98" s="5">
        <f t="shared" si="118"/>
        <v>1.1100000000000001</v>
      </c>
      <c r="AZ98" s="5">
        <f t="shared" si="119"/>
        <v>1.8801786622748684</v>
      </c>
      <c r="BB98" s="163">
        <v>57</v>
      </c>
      <c r="BC98" s="118">
        <f t="shared" si="144"/>
        <v>85.5</v>
      </c>
      <c r="BD98" s="118">
        <f t="shared" si="143"/>
        <v>615.6</v>
      </c>
      <c r="BE98" s="167">
        <v>27.5</v>
      </c>
      <c r="BF98" s="118">
        <f t="shared" si="145"/>
        <v>198</v>
      </c>
      <c r="BG98" s="183"/>
      <c r="BH98" s="163"/>
      <c r="BI98" s="167"/>
      <c r="BJ98" s="167"/>
      <c r="BK98" s="167"/>
      <c r="BL98" s="167"/>
      <c r="BN98" s="5">
        <f t="shared" si="87"/>
        <v>4.278757324549737</v>
      </c>
      <c r="BO98" s="5">
        <f t="shared" si="88"/>
        <v>0</v>
      </c>
      <c r="BP98" s="5">
        <f t="shared" si="89"/>
        <v>0</v>
      </c>
      <c r="BQ98" s="5">
        <f t="shared" si="90"/>
        <v>0</v>
      </c>
      <c r="BR98" s="5">
        <f t="shared" si="91"/>
        <v>0</v>
      </c>
      <c r="BS98" s="163">
        <f t="shared" si="92"/>
        <v>1</v>
      </c>
      <c r="BT98" s="163">
        <f t="shared" si="93"/>
        <v>0</v>
      </c>
      <c r="BU98" s="163">
        <f t="shared" si="94"/>
        <v>0</v>
      </c>
      <c r="BV98" s="163">
        <f t="shared" si="95"/>
        <v>0</v>
      </c>
      <c r="BW98" s="163">
        <f t="shared" si="96"/>
        <v>0</v>
      </c>
      <c r="BX98" s="163">
        <f t="shared" si="97"/>
        <v>1</v>
      </c>
      <c r="BY98" s="163">
        <f t="shared" si="98"/>
        <v>0</v>
      </c>
      <c r="BZ98" s="163">
        <f t="shared" si="99"/>
        <v>0</v>
      </c>
      <c r="CA98" s="163">
        <f t="shared" si="100"/>
        <v>0</v>
      </c>
      <c r="CB98" s="163">
        <f t="shared" si="101"/>
        <v>0</v>
      </c>
      <c r="CC98" s="163">
        <f t="shared" si="120"/>
        <v>2</v>
      </c>
      <c r="CD98" s="163">
        <f t="shared" si="121"/>
        <v>0</v>
      </c>
      <c r="CE98" s="163">
        <f t="shared" si="122"/>
        <v>0</v>
      </c>
      <c r="CF98" s="163">
        <f t="shared" si="123"/>
        <v>0</v>
      </c>
      <c r="CG98" s="163">
        <f t="shared" si="124"/>
        <v>0</v>
      </c>
      <c r="CI98" s="167"/>
      <c r="CJ98" s="167"/>
      <c r="CK98" s="5"/>
      <c r="CL98" s="5"/>
      <c r="CM98" s="5" t="str">
        <f t="shared" si="126"/>
        <v/>
      </c>
      <c r="CN98" s="5" t="str">
        <f t="shared" si="127"/>
        <v/>
      </c>
      <c r="CO98" s="5" t="str">
        <f t="shared" si="128"/>
        <v/>
      </c>
      <c r="CP98" s="5" t="str">
        <f t="shared" si="141"/>
        <v/>
      </c>
      <c r="CQ98" s="5" t="str">
        <f t="shared" si="129"/>
        <v/>
      </c>
      <c r="CR98" s="5" t="str">
        <f t="shared" si="130"/>
        <v/>
      </c>
      <c r="CS98" s="5" t="str">
        <f t="shared" si="131"/>
        <v/>
      </c>
      <c r="CT98" s="50">
        <f t="shared" si="132"/>
        <v>0</v>
      </c>
      <c r="CU98" s="50">
        <f t="shared" si="133"/>
        <v>0</v>
      </c>
      <c r="CV98" s="50">
        <f t="shared" si="134"/>
        <v>0</v>
      </c>
      <c r="CW98" s="50">
        <f t="shared" si="135"/>
        <v>0</v>
      </c>
      <c r="CX98" s="190">
        <f t="shared" si="142"/>
        <v>0</v>
      </c>
      <c r="CZ98" s="1">
        <v>4.05</v>
      </c>
      <c r="DA98" s="167">
        <f t="shared" si="136"/>
        <v>1.7</v>
      </c>
      <c r="DB98" s="1">
        <f>Alcantarillas!AX103</f>
        <v>23.05</v>
      </c>
      <c r="DC98" s="5">
        <f t="shared" si="137"/>
        <v>158.69925000000001</v>
      </c>
      <c r="DE98" s="172">
        <f t="shared" si="138"/>
        <v>2223</v>
      </c>
      <c r="DF98" s="172">
        <f t="shared" si="139"/>
        <v>0</v>
      </c>
    </row>
    <row r="99" spans="14:110" x14ac:dyDescent="0.25">
      <c r="N99">
        <v>94</v>
      </c>
      <c r="O99" s="24">
        <f>Alcantarillas!E104</f>
        <v>24526.1</v>
      </c>
      <c r="P99" s="160">
        <f>IF(Alcantarillas!J104=1.2,1,0)</f>
        <v>1</v>
      </c>
      <c r="Q99" s="160">
        <f>IF(Alcantarillas!J104=1.3,1,0)</f>
        <v>0</v>
      </c>
      <c r="R99" s="160">
        <f>IF(Alcantarillas!J104=1.4,1,0)</f>
        <v>0</v>
      </c>
      <c r="S99" s="160">
        <f>IF(Alcantarillas!L104=1.2,1,0)</f>
        <v>0</v>
      </c>
      <c r="T99" s="160">
        <f>IF(Alcantarillas!L104=1.5,1,0)</f>
        <v>0</v>
      </c>
      <c r="V99" s="160">
        <f>IF(Alcantarillas!J104=1.2,Alcantarillas!AX104,0)</f>
        <v>11.1</v>
      </c>
      <c r="W99" s="160">
        <f>IF(Alcantarillas!J104=1.3,Alcantarillas!AX104,0)</f>
        <v>0</v>
      </c>
      <c r="X99" s="160">
        <f>IF(Alcantarillas!J104=1.4,Alcantarillas!AX104,0)</f>
        <v>0</v>
      </c>
      <c r="Y99" s="160">
        <f>IF(Alcantarillas!L104=1.2,Alcantarillas!AX104,0)</f>
        <v>0</v>
      </c>
      <c r="Z99" s="160">
        <f>IF(Alcantarillas!L104=1.5,Alcantarillas!AX104,0)</f>
        <v>0</v>
      </c>
      <c r="AB99" s="21"/>
      <c r="AC99" s="5">
        <f t="shared" si="102"/>
        <v>2.2000000000000002</v>
      </c>
      <c r="AD99" s="21"/>
      <c r="AE99" s="5">
        <f t="shared" si="103"/>
        <v>1.1309733552923256</v>
      </c>
      <c r="AF99" s="5">
        <f t="shared" si="104"/>
        <v>0</v>
      </c>
      <c r="AG99" s="21"/>
      <c r="AH99" s="5">
        <f t="shared" si="105"/>
        <v>0</v>
      </c>
      <c r="AI99" s="5">
        <f t="shared" si="106"/>
        <v>0</v>
      </c>
      <c r="AJ99" s="5">
        <f t="shared" si="107"/>
        <v>5.2</v>
      </c>
      <c r="AK99" s="5">
        <f t="shared" si="108"/>
        <v>5.5500000000000007</v>
      </c>
      <c r="AL99" s="5">
        <f t="shared" si="109"/>
        <v>0</v>
      </c>
      <c r="AM99" s="5">
        <f t="shared" si="110"/>
        <v>0</v>
      </c>
      <c r="AO99" s="21">
        <v>1.5</v>
      </c>
      <c r="AP99" s="5">
        <f t="shared" si="111"/>
        <v>2.2000000000000002</v>
      </c>
      <c r="AQ99" s="21">
        <v>0.2</v>
      </c>
      <c r="AR99" s="5">
        <f t="shared" si="112"/>
        <v>1.1309733552923256</v>
      </c>
      <c r="AS99" s="5">
        <f t="shared" si="113"/>
        <v>0.4338053289415349</v>
      </c>
      <c r="AT99" s="21">
        <v>2.12</v>
      </c>
      <c r="AU99" s="5">
        <f t="shared" si="114"/>
        <v>1.6818666666666668</v>
      </c>
      <c r="AV99" s="5">
        <f t="shared" si="115"/>
        <v>0.33637333333333341</v>
      </c>
      <c r="AW99" s="5">
        <f t="shared" si="116"/>
        <v>5.2</v>
      </c>
      <c r="AX99" s="5">
        <f t="shared" si="117"/>
        <v>5.5500000000000007</v>
      </c>
      <c r="AY99" s="5">
        <f t="shared" si="118"/>
        <v>1.1100000000000001</v>
      </c>
      <c r="AZ99" s="5">
        <f t="shared" si="119"/>
        <v>1.8801786622748684</v>
      </c>
      <c r="BB99" s="163">
        <v>20</v>
      </c>
      <c r="BC99" s="118">
        <f t="shared" si="144"/>
        <v>30</v>
      </c>
      <c r="BD99" s="118">
        <f t="shared" si="143"/>
        <v>216</v>
      </c>
      <c r="BE99" s="167">
        <v>16.5</v>
      </c>
      <c r="BF99" s="118">
        <f t="shared" si="145"/>
        <v>118.8</v>
      </c>
      <c r="BG99" s="183"/>
      <c r="BH99" s="163"/>
      <c r="BI99" s="167"/>
      <c r="BJ99" s="167"/>
      <c r="BK99" s="167"/>
      <c r="BL99" s="167"/>
      <c r="BN99" s="5">
        <f t="shared" si="87"/>
        <v>1.8801786622748684</v>
      </c>
      <c r="BO99" s="5">
        <f t="shared" si="88"/>
        <v>0</v>
      </c>
      <c r="BP99" s="5">
        <f t="shared" si="89"/>
        <v>0</v>
      </c>
      <c r="BQ99" s="5">
        <f t="shared" si="90"/>
        <v>0</v>
      </c>
      <c r="BR99" s="5">
        <f t="shared" si="91"/>
        <v>0</v>
      </c>
      <c r="BS99" s="163">
        <f t="shared" si="92"/>
        <v>0</v>
      </c>
      <c r="BT99" s="163">
        <f t="shared" si="93"/>
        <v>0</v>
      </c>
      <c r="BU99" s="163">
        <f t="shared" si="94"/>
        <v>0</v>
      </c>
      <c r="BV99" s="163">
        <f t="shared" si="95"/>
        <v>0</v>
      </c>
      <c r="BW99" s="163">
        <f t="shared" si="96"/>
        <v>0</v>
      </c>
      <c r="BX99" s="163">
        <f t="shared" si="97"/>
        <v>1</v>
      </c>
      <c r="BY99" s="163">
        <f t="shared" si="98"/>
        <v>0</v>
      </c>
      <c r="BZ99" s="163">
        <f t="shared" si="99"/>
        <v>0</v>
      </c>
      <c r="CA99" s="163">
        <f t="shared" si="100"/>
        <v>0</v>
      </c>
      <c r="CB99" s="163">
        <f t="shared" si="101"/>
        <v>0</v>
      </c>
      <c r="CC99" s="163">
        <f t="shared" si="120"/>
        <v>1</v>
      </c>
      <c r="CD99" s="163">
        <f t="shared" si="121"/>
        <v>0</v>
      </c>
      <c r="CE99" s="163">
        <f t="shared" si="122"/>
        <v>0</v>
      </c>
      <c r="CF99" s="163">
        <f t="shared" si="123"/>
        <v>0</v>
      </c>
      <c r="CG99" s="163">
        <f t="shared" si="124"/>
        <v>0</v>
      </c>
      <c r="CI99" s="167">
        <v>2.1</v>
      </c>
      <c r="CJ99" s="167">
        <v>2.7</v>
      </c>
      <c r="CK99" s="5">
        <f t="shared" si="140"/>
        <v>5.2800000000000011</v>
      </c>
      <c r="CL99" s="5">
        <f t="shared" si="125"/>
        <v>1.7</v>
      </c>
      <c r="CM99" s="5" t="str">
        <f t="shared" si="126"/>
        <v/>
      </c>
      <c r="CN99" s="5" t="str">
        <f t="shared" si="127"/>
        <v/>
      </c>
      <c r="CO99" s="5" t="str">
        <f t="shared" si="128"/>
        <v/>
      </c>
      <c r="CP99" s="5">
        <f t="shared" si="141"/>
        <v>1.4789999999999999</v>
      </c>
      <c r="CQ99" s="5" t="str">
        <f t="shared" si="129"/>
        <v/>
      </c>
      <c r="CR99" s="5" t="str">
        <f t="shared" si="130"/>
        <v/>
      </c>
      <c r="CS99" s="5" t="str">
        <f t="shared" si="131"/>
        <v/>
      </c>
      <c r="CT99" s="50">
        <f t="shared" si="132"/>
        <v>1</v>
      </c>
      <c r="CU99" s="50">
        <f t="shared" si="133"/>
        <v>0</v>
      </c>
      <c r="CV99" s="50">
        <f t="shared" si="134"/>
        <v>0</v>
      </c>
      <c r="CW99" s="50">
        <f t="shared" si="135"/>
        <v>0</v>
      </c>
      <c r="CX99" s="190">
        <f t="shared" si="142"/>
        <v>1</v>
      </c>
      <c r="CZ99" s="1">
        <v>1.8</v>
      </c>
      <c r="DA99" s="167">
        <f t="shared" si="136"/>
        <v>1.7</v>
      </c>
      <c r="DB99" s="1">
        <f>Alcantarillas!AX104</f>
        <v>11.1</v>
      </c>
      <c r="DC99" s="5">
        <f t="shared" si="137"/>
        <v>33.966000000000001</v>
      </c>
      <c r="DE99" s="172">
        <f t="shared" si="138"/>
        <v>780</v>
      </c>
      <c r="DF99" s="172">
        <f t="shared" si="139"/>
        <v>0</v>
      </c>
    </row>
    <row r="100" spans="14:110" x14ac:dyDescent="0.25">
      <c r="N100">
        <v>95</v>
      </c>
      <c r="O100" s="24">
        <f>Alcantarillas!E105</f>
        <v>24618.5</v>
      </c>
      <c r="P100" s="160">
        <f>IF(Alcantarillas!J105=1.2,1,0)</f>
        <v>1</v>
      </c>
      <c r="Q100" s="160">
        <f>IF(Alcantarillas!J105=1.3,1,0)</f>
        <v>0</v>
      </c>
      <c r="R100" s="160">
        <f>IF(Alcantarillas!J105=1.4,1,0)</f>
        <v>0</v>
      </c>
      <c r="S100" s="160">
        <f>IF(Alcantarillas!L105=1.2,1,0)</f>
        <v>0</v>
      </c>
      <c r="T100" s="160">
        <f>IF(Alcantarillas!L105=1.5,1,0)</f>
        <v>0</v>
      </c>
      <c r="V100" s="160">
        <f>IF(Alcantarillas!J105=1.2,Alcantarillas!AX105,0)</f>
        <v>23.8</v>
      </c>
      <c r="W100" s="160">
        <f>IF(Alcantarillas!J105=1.3,Alcantarillas!AX105,0)</f>
        <v>0</v>
      </c>
      <c r="X100" s="160">
        <f>IF(Alcantarillas!J105=1.4,Alcantarillas!AX105,0)</f>
        <v>0</v>
      </c>
      <c r="Y100" s="160">
        <f>IF(Alcantarillas!L105=1.2,Alcantarillas!AX105,0)</f>
        <v>0</v>
      </c>
      <c r="Z100" s="160">
        <f>IF(Alcantarillas!L105=1.5,Alcantarillas!AX105,0)</f>
        <v>0</v>
      </c>
      <c r="AB100" s="21">
        <v>2.6</v>
      </c>
      <c r="AC100" s="5">
        <f t="shared" si="102"/>
        <v>2.2000000000000002</v>
      </c>
      <c r="AD100" s="21">
        <v>0.2</v>
      </c>
      <c r="AE100" s="5">
        <f t="shared" si="103"/>
        <v>1.1309733552923256</v>
      </c>
      <c r="AF100" s="5">
        <f t="shared" si="104"/>
        <v>0.9178053289415351</v>
      </c>
      <c r="AG100" s="21">
        <v>2.12</v>
      </c>
      <c r="AH100" s="5">
        <f t="shared" si="105"/>
        <v>4.0138666666666669</v>
      </c>
      <c r="AI100" s="5">
        <f t="shared" si="106"/>
        <v>0.80277333333333345</v>
      </c>
      <c r="AJ100" s="5">
        <f t="shared" si="107"/>
        <v>5.2</v>
      </c>
      <c r="AK100" s="5">
        <f t="shared" si="108"/>
        <v>5.5500000000000007</v>
      </c>
      <c r="AL100" s="5">
        <f t="shared" si="109"/>
        <v>1.1100000000000001</v>
      </c>
      <c r="AM100" s="5">
        <f t="shared" si="110"/>
        <v>2.8305786622748688</v>
      </c>
      <c r="AO100" s="21">
        <v>1.5</v>
      </c>
      <c r="AP100" s="5">
        <f t="shared" si="111"/>
        <v>2.2000000000000002</v>
      </c>
      <c r="AQ100" s="21">
        <v>0.2</v>
      </c>
      <c r="AR100" s="5">
        <f t="shared" si="112"/>
        <v>1.1309733552923256</v>
      </c>
      <c r="AS100" s="5">
        <f t="shared" si="113"/>
        <v>0.4338053289415349</v>
      </c>
      <c r="AT100" s="21">
        <v>2.12</v>
      </c>
      <c r="AU100" s="5">
        <f t="shared" si="114"/>
        <v>1.6818666666666668</v>
      </c>
      <c r="AV100" s="5">
        <f t="shared" si="115"/>
        <v>0.33637333333333341</v>
      </c>
      <c r="AW100" s="5">
        <f t="shared" si="116"/>
        <v>5.2</v>
      </c>
      <c r="AX100" s="5">
        <f t="shared" si="117"/>
        <v>5.5500000000000007</v>
      </c>
      <c r="AY100" s="5">
        <f t="shared" si="118"/>
        <v>1.1100000000000001</v>
      </c>
      <c r="AZ100" s="5">
        <f t="shared" si="119"/>
        <v>1.8801786622748684</v>
      </c>
      <c r="BB100" s="163">
        <v>3</v>
      </c>
      <c r="BC100" s="118">
        <f t="shared" si="144"/>
        <v>4.5</v>
      </c>
      <c r="BD100" s="118">
        <f t="shared" si="143"/>
        <v>32.4</v>
      </c>
      <c r="BE100" s="167">
        <v>7</v>
      </c>
      <c r="BF100" s="118">
        <f t="shared" si="145"/>
        <v>50.4</v>
      </c>
      <c r="BG100" s="183"/>
      <c r="BH100" s="163"/>
      <c r="BI100" s="167"/>
      <c r="BJ100" s="167"/>
      <c r="BK100" s="167"/>
      <c r="BL100" s="167"/>
      <c r="BN100" s="5">
        <f t="shared" si="87"/>
        <v>4.7107573245497374</v>
      </c>
      <c r="BO100" s="5">
        <f t="shared" si="88"/>
        <v>0</v>
      </c>
      <c r="BP100" s="5">
        <f t="shared" si="89"/>
        <v>0</v>
      </c>
      <c r="BQ100" s="5">
        <f t="shared" si="90"/>
        <v>0</v>
      </c>
      <c r="BR100" s="5">
        <f t="shared" si="91"/>
        <v>0</v>
      </c>
      <c r="BS100" s="163">
        <f t="shared" si="92"/>
        <v>1</v>
      </c>
      <c r="BT100" s="163">
        <f t="shared" si="93"/>
        <v>0</v>
      </c>
      <c r="BU100" s="163">
        <f t="shared" si="94"/>
        <v>0</v>
      </c>
      <c r="BV100" s="163">
        <f t="shared" si="95"/>
        <v>0</v>
      </c>
      <c r="BW100" s="163">
        <f t="shared" si="96"/>
        <v>0</v>
      </c>
      <c r="BX100" s="163">
        <f t="shared" si="97"/>
        <v>1</v>
      </c>
      <c r="BY100" s="163">
        <f t="shared" si="98"/>
        <v>0</v>
      </c>
      <c r="BZ100" s="163">
        <f t="shared" si="99"/>
        <v>0</v>
      </c>
      <c r="CA100" s="163">
        <f t="shared" si="100"/>
        <v>0</v>
      </c>
      <c r="CB100" s="163">
        <f t="shared" si="101"/>
        <v>0</v>
      </c>
      <c r="CC100" s="163">
        <f t="shared" si="120"/>
        <v>2</v>
      </c>
      <c r="CD100" s="163">
        <f t="shared" si="121"/>
        <v>0</v>
      </c>
      <c r="CE100" s="163">
        <f t="shared" si="122"/>
        <v>0</v>
      </c>
      <c r="CF100" s="163">
        <f t="shared" si="123"/>
        <v>0</v>
      </c>
      <c r="CG100" s="163">
        <f t="shared" si="124"/>
        <v>0</v>
      </c>
      <c r="CI100" s="167"/>
      <c r="CJ100" s="167"/>
      <c r="CK100" s="5"/>
      <c r="CL100" s="5"/>
      <c r="CM100" s="5" t="str">
        <f t="shared" si="126"/>
        <v/>
      </c>
      <c r="CN100" s="5" t="str">
        <f t="shared" si="127"/>
        <v/>
      </c>
      <c r="CO100" s="5" t="str">
        <f t="shared" si="128"/>
        <v/>
      </c>
      <c r="CP100" s="5" t="str">
        <f t="shared" si="141"/>
        <v/>
      </c>
      <c r="CQ100" s="5" t="str">
        <f t="shared" si="129"/>
        <v/>
      </c>
      <c r="CR100" s="5" t="str">
        <f t="shared" si="130"/>
        <v/>
      </c>
      <c r="CS100" s="5" t="str">
        <f t="shared" si="131"/>
        <v/>
      </c>
      <c r="CT100" s="50">
        <f t="shared" si="132"/>
        <v>0</v>
      </c>
      <c r="CU100" s="50">
        <f t="shared" si="133"/>
        <v>0</v>
      </c>
      <c r="CV100" s="50">
        <f t="shared" si="134"/>
        <v>0</v>
      </c>
      <c r="CW100" s="50">
        <f t="shared" si="135"/>
        <v>0</v>
      </c>
      <c r="CX100" s="190">
        <f t="shared" si="142"/>
        <v>0</v>
      </c>
      <c r="CZ100" s="1">
        <v>4.5</v>
      </c>
      <c r="DA100" s="167">
        <f t="shared" si="136"/>
        <v>1.7</v>
      </c>
      <c r="DB100" s="1">
        <f>Alcantarillas!AX105</f>
        <v>23.8</v>
      </c>
      <c r="DC100" s="5">
        <f t="shared" si="137"/>
        <v>182.07</v>
      </c>
      <c r="DE100" s="172">
        <f t="shared" si="138"/>
        <v>117</v>
      </c>
      <c r="DF100" s="172">
        <f t="shared" si="139"/>
        <v>0</v>
      </c>
    </row>
    <row r="101" spans="14:110" x14ac:dyDescent="0.25">
      <c r="N101">
        <v>96</v>
      </c>
      <c r="O101" s="24">
        <f>Alcantarillas!E106</f>
        <v>24746.400000000001</v>
      </c>
      <c r="P101" s="160">
        <f>IF(Alcantarillas!J106=1.2,1,0)</f>
        <v>1</v>
      </c>
      <c r="Q101" s="160">
        <f>IF(Alcantarillas!J106=1.3,1,0)</f>
        <v>0</v>
      </c>
      <c r="R101" s="160">
        <f>IF(Alcantarillas!J106=1.4,1,0)</f>
        <v>0</v>
      </c>
      <c r="S101" s="160">
        <f>IF(Alcantarillas!L106=1.2,1,0)</f>
        <v>0</v>
      </c>
      <c r="T101" s="160">
        <f>IF(Alcantarillas!L106=1.5,1,0)</f>
        <v>0</v>
      </c>
      <c r="V101" s="160">
        <f>IF(Alcantarillas!J106=1.2,Alcantarillas!AX106,0)</f>
        <v>49.05</v>
      </c>
      <c r="W101" s="160">
        <f>IF(Alcantarillas!J106=1.3,Alcantarillas!AX106,0)</f>
        <v>0</v>
      </c>
      <c r="X101" s="160">
        <f>IF(Alcantarillas!J106=1.4,Alcantarillas!AX106,0)</f>
        <v>0</v>
      </c>
      <c r="Y101" s="160">
        <f>IF(Alcantarillas!L106=1.2,Alcantarillas!AX106,0)</f>
        <v>0</v>
      </c>
      <c r="Z101" s="160">
        <f>IF(Alcantarillas!L106=1.5,Alcantarillas!AX106,0)</f>
        <v>0</v>
      </c>
      <c r="AB101" s="21">
        <v>1.5</v>
      </c>
      <c r="AC101" s="5">
        <f t="shared" si="102"/>
        <v>2.2000000000000002</v>
      </c>
      <c r="AD101" s="21">
        <v>0.2</v>
      </c>
      <c r="AE101" s="5">
        <f t="shared" si="103"/>
        <v>1.1309733552923256</v>
      </c>
      <c r="AF101" s="5">
        <f t="shared" si="104"/>
        <v>0.4338053289415349</v>
      </c>
      <c r="AG101" s="21">
        <v>2.12</v>
      </c>
      <c r="AH101" s="5">
        <f t="shared" si="105"/>
        <v>1.6818666666666668</v>
      </c>
      <c r="AI101" s="5">
        <f t="shared" si="106"/>
        <v>0.33637333333333341</v>
      </c>
      <c r="AJ101" s="5">
        <f t="shared" si="107"/>
        <v>5.2</v>
      </c>
      <c r="AK101" s="5">
        <f t="shared" si="108"/>
        <v>5.5500000000000007</v>
      </c>
      <c r="AL101" s="5">
        <f t="shared" si="109"/>
        <v>1.1100000000000001</v>
      </c>
      <c r="AM101" s="5">
        <f t="shared" si="110"/>
        <v>1.8801786622748684</v>
      </c>
      <c r="AO101" s="21">
        <v>1.75</v>
      </c>
      <c r="AP101" s="5">
        <f t="shared" si="111"/>
        <v>2.2000000000000002</v>
      </c>
      <c r="AQ101" s="21">
        <v>0.2</v>
      </c>
      <c r="AR101" s="5">
        <f t="shared" si="112"/>
        <v>1.1309733552923256</v>
      </c>
      <c r="AS101" s="5">
        <f t="shared" si="113"/>
        <v>0.5438053289415351</v>
      </c>
      <c r="AT101" s="21">
        <v>2.12</v>
      </c>
      <c r="AU101" s="5">
        <f t="shared" si="114"/>
        <v>2.2118666666666664</v>
      </c>
      <c r="AV101" s="5">
        <f t="shared" si="115"/>
        <v>0.44237333333333329</v>
      </c>
      <c r="AW101" s="5">
        <f t="shared" si="116"/>
        <v>5.2</v>
      </c>
      <c r="AX101" s="5">
        <f t="shared" si="117"/>
        <v>5.5500000000000007</v>
      </c>
      <c r="AY101" s="5">
        <f t="shared" si="118"/>
        <v>1.1100000000000001</v>
      </c>
      <c r="AZ101" s="5">
        <f t="shared" si="119"/>
        <v>2.0961786622748684</v>
      </c>
      <c r="BB101" s="163"/>
      <c r="BC101" s="118"/>
      <c r="BD101" s="118"/>
      <c r="BE101" s="167"/>
      <c r="BF101" s="118"/>
      <c r="BG101" s="183"/>
      <c r="BH101" s="163"/>
      <c r="BI101" s="167"/>
      <c r="BJ101" s="167"/>
      <c r="BK101" s="167"/>
      <c r="BL101" s="167"/>
      <c r="BN101" s="5">
        <f t="shared" si="87"/>
        <v>3.9763573245497366</v>
      </c>
      <c r="BO101" s="5">
        <f t="shared" si="88"/>
        <v>0</v>
      </c>
      <c r="BP101" s="5">
        <f t="shared" si="89"/>
        <v>0</v>
      </c>
      <c r="BQ101" s="5">
        <f t="shared" si="90"/>
        <v>0</v>
      </c>
      <c r="BR101" s="5">
        <f t="shared" si="91"/>
        <v>0</v>
      </c>
      <c r="BS101" s="163">
        <f t="shared" si="92"/>
        <v>1</v>
      </c>
      <c r="BT101" s="163">
        <f t="shared" si="93"/>
        <v>0</v>
      </c>
      <c r="BU101" s="163">
        <f t="shared" si="94"/>
        <v>0</v>
      </c>
      <c r="BV101" s="163">
        <f t="shared" si="95"/>
        <v>0</v>
      </c>
      <c r="BW101" s="163">
        <f t="shared" si="96"/>
        <v>0</v>
      </c>
      <c r="BX101" s="163">
        <f t="shared" si="97"/>
        <v>1</v>
      </c>
      <c r="BY101" s="163">
        <f t="shared" si="98"/>
        <v>0</v>
      </c>
      <c r="BZ101" s="163">
        <f t="shared" si="99"/>
        <v>0</v>
      </c>
      <c r="CA101" s="163">
        <f t="shared" si="100"/>
        <v>0</v>
      </c>
      <c r="CB101" s="163">
        <f t="shared" si="101"/>
        <v>0</v>
      </c>
      <c r="CC101" s="163">
        <f t="shared" si="120"/>
        <v>2</v>
      </c>
      <c r="CD101" s="163">
        <f t="shared" si="121"/>
        <v>0</v>
      </c>
      <c r="CE101" s="163">
        <f t="shared" si="122"/>
        <v>0</v>
      </c>
      <c r="CF101" s="163">
        <f t="shared" si="123"/>
        <v>0</v>
      </c>
      <c r="CG101" s="163">
        <f t="shared" si="124"/>
        <v>0</v>
      </c>
      <c r="CI101" s="167"/>
      <c r="CJ101" s="167"/>
      <c r="CK101" s="5"/>
      <c r="CL101" s="5"/>
      <c r="CM101" s="5" t="str">
        <f t="shared" si="126"/>
        <v/>
      </c>
      <c r="CN101" s="5" t="str">
        <f t="shared" si="127"/>
        <v/>
      </c>
      <c r="CO101" s="5" t="str">
        <f t="shared" si="128"/>
        <v/>
      </c>
      <c r="CP101" s="5" t="str">
        <f t="shared" si="141"/>
        <v/>
      </c>
      <c r="CQ101" s="5" t="str">
        <f t="shared" si="129"/>
        <v/>
      </c>
      <c r="CR101" s="5" t="str">
        <f t="shared" si="130"/>
        <v/>
      </c>
      <c r="CS101" s="5" t="str">
        <f t="shared" si="131"/>
        <v/>
      </c>
      <c r="CT101" s="50">
        <f t="shared" si="132"/>
        <v>0</v>
      </c>
      <c r="CU101" s="50">
        <f t="shared" si="133"/>
        <v>0</v>
      </c>
      <c r="CV101" s="50">
        <f t="shared" si="134"/>
        <v>0</v>
      </c>
      <c r="CW101" s="50">
        <f t="shared" si="135"/>
        <v>0</v>
      </c>
      <c r="CX101" s="190">
        <f t="shared" si="142"/>
        <v>0</v>
      </c>
      <c r="CZ101" s="1">
        <v>10.5</v>
      </c>
      <c r="DA101" s="167">
        <f t="shared" si="136"/>
        <v>1.7</v>
      </c>
      <c r="DB101" s="1">
        <f>Alcantarillas!AX106</f>
        <v>49.05</v>
      </c>
      <c r="DC101" s="5">
        <f t="shared" si="137"/>
        <v>875.54249999999979</v>
      </c>
      <c r="DE101" s="172">
        <f t="shared" si="138"/>
        <v>0</v>
      </c>
      <c r="DF101" s="172">
        <f t="shared" si="139"/>
        <v>0</v>
      </c>
    </row>
    <row r="102" spans="14:110" x14ac:dyDescent="0.25">
      <c r="N102">
        <v>97</v>
      </c>
      <c r="O102" s="24">
        <f>Alcantarillas!E107</f>
        <v>24917.200000000001</v>
      </c>
      <c r="P102" s="160">
        <f>IF(Alcantarillas!J107=1.2,1,0)</f>
        <v>1</v>
      </c>
      <c r="Q102" s="160">
        <f>IF(Alcantarillas!J107=1.3,1,0)</f>
        <v>0</v>
      </c>
      <c r="R102" s="160">
        <f>IF(Alcantarillas!J107=1.4,1,0)</f>
        <v>0</v>
      </c>
      <c r="S102" s="160">
        <f>IF(Alcantarillas!L107=1.2,1,0)</f>
        <v>0</v>
      </c>
      <c r="T102" s="160">
        <f>IF(Alcantarillas!L107=1.5,1,0)</f>
        <v>0</v>
      </c>
      <c r="V102" s="160">
        <f>IF(Alcantarillas!J107=1.2,Alcantarillas!AX107,0)</f>
        <v>14.4</v>
      </c>
      <c r="W102" s="160">
        <f>IF(Alcantarillas!J107=1.3,Alcantarillas!AX107,0)</f>
        <v>0</v>
      </c>
      <c r="X102" s="160">
        <f>IF(Alcantarillas!J107=1.4,Alcantarillas!AX107,0)</f>
        <v>0</v>
      </c>
      <c r="Y102" s="160">
        <f>IF(Alcantarillas!L107=1.2,Alcantarillas!AX107,0)</f>
        <v>0</v>
      </c>
      <c r="Z102" s="160">
        <f>IF(Alcantarillas!L107=1.5,Alcantarillas!AX107,0)</f>
        <v>0</v>
      </c>
      <c r="AB102" s="21">
        <v>1.7</v>
      </c>
      <c r="AC102" s="5">
        <f t="shared" si="102"/>
        <v>2.2000000000000002</v>
      </c>
      <c r="AD102" s="21">
        <v>0.2</v>
      </c>
      <c r="AE102" s="5">
        <f t="shared" si="103"/>
        <v>1.1309733552923256</v>
      </c>
      <c r="AF102" s="5">
        <f t="shared" si="104"/>
        <v>0.52180532894153497</v>
      </c>
      <c r="AG102" s="21">
        <v>2.12</v>
      </c>
      <c r="AH102" s="5">
        <f t="shared" si="105"/>
        <v>2.1058666666666666</v>
      </c>
      <c r="AI102" s="5">
        <f t="shared" si="106"/>
        <v>0.42117333333333334</v>
      </c>
      <c r="AJ102" s="5">
        <f t="shared" si="107"/>
        <v>5.2</v>
      </c>
      <c r="AK102" s="5">
        <f t="shared" si="108"/>
        <v>5.5500000000000007</v>
      </c>
      <c r="AL102" s="5">
        <f t="shared" si="109"/>
        <v>1.1100000000000001</v>
      </c>
      <c r="AM102" s="5">
        <f t="shared" si="110"/>
        <v>2.0529786622748682</v>
      </c>
      <c r="AO102" s="21">
        <v>1.5</v>
      </c>
      <c r="AP102" s="5">
        <f t="shared" si="111"/>
        <v>2.2000000000000002</v>
      </c>
      <c r="AQ102" s="21">
        <v>0.2</v>
      </c>
      <c r="AR102" s="5">
        <f t="shared" si="112"/>
        <v>1.1309733552923256</v>
      </c>
      <c r="AS102" s="5">
        <f t="shared" si="113"/>
        <v>0.4338053289415349</v>
      </c>
      <c r="AT102" s="21">
        <v>2.12</v>
      </c>
      <c r="AU102" s="5">
        <f t="shared" si="114"/>
        <v>1.6818666666666668</v>
      </c>
      <c r="AV102" s="5">
        <f t="shared" si="115"/>
        <v>0.33637333333333341</v>
      </c>
      <c r="AW102" s="5">
        <f t="shared" si="116"/>
        <v>5.2</v>
      </c>
      <c r="AX102" s="5">
        <f t="shared" si="117"/>
        <v>5.5500000000000007</v>
      </c>
      <c r="AY102" s="5">
        <f t="shared" si="118"/>
        <v>1.1100000000000001</v>
      </c>
      <c r="AZ102" s="5">
        <f t="shared" si="119"/>
        <v>1.8801786622748684</v>
      </c>
      <c r="BB102" s="163">
        <v>11</v>
      </c>
      <c r="BC102" s="118">
        <f t="shared" si="144"/>
        <v>16.5</v>
      </c>
      <c r="BD102" s="118">
        <f t="shared" si="143"/>
        <v>118.8</v>
      </c>
      <c r="BE102" s="167">
        <v>13</v>
      </c>
      <c r="BF102" s="118">
        <f t="shared" si="145"/>
        <v>93.600000000000009</v>
      </c>
      <c r="BG102" s="183"/>
      <c r="BH102" s="163"/>
      <c r="BI102" s="167"/>
      <c r="BJ102" s="167"/>
      <c r="BK102" s="167"/>
      <c r="BL102" s="167"/>
      <c r="BN102" s="5">
        <f t="shared" ref="BN102:BN115" si="146">IF(P102=1,AM102+AZ102,0)</f>
        <v>3.9331573245497369</v>
      </c>
      <c r="BO102" s="5">
        <f t="shared" ref="BO102:BO115" si="147">IF(Q102=1,AM102+AZ102,0)</f>
        <v>0</v>
      </c>
      <c r="BP102" s="5">
        <f t="shared" ref="BP102:BP115" si="148">IF(R102=1,AM102+AZ102,0)</f>
        <v>0</v>
      </c>
      <c r="BQ102" s="5">
        <f t="shared" ref="BQ102:BQ115" si="149">IF(S102=1,AM102+AZ102,0)</f>
        <v>0</v>
      </c>
      <c r="BR102" s="5">
        <f t="shared" ref="BR102:BR115" si="150">IF(T102=1,AM102+AZ102,0)</f>
        <v>0</v>
      </c>
      <c r="BS102" s="163">
        <f t="shared" ref="BS102:BS115" si="151">IF(P102=1,IF(AB102&lt;&gt;0,1,0),0)</f>
        <v>1</v>
      </c>
      <c r="BT102" s="163">
        <f t="shared" ref="BT102:BT115" si="152">IF(Q102=1,IF(AB102&lt;&gt;0,1,0),0)</f>
        <v>0</v>
      </c>
      <c r="BU102" s="163">
        <f t="shared" ref="BU102:BU115" si="153">IF(R102=1,IF(AB102&lt;&gt;0,1,0),0)</f>
        <v>0</v>
      </c>
      <c r="BV102" s="163">
        <f t="shared" ref="BV102:BV115" si="154">IF(S102=1,IF(AB102&lt;&gt;0,1,0),0)</f>
        <v>0</v>
      </c>
      <c r="BW102" s="163">
        <f t="shared" ref="BW102:BW115" si="155">IF(T102=1,IF(AB102&lt;&gt;0,1,0),0)</f>
        <v>0</v>
      </c>
      <c r="BX102" s="163">
        <f t="shared" ref="BX102:BX115" si="156">IF(P102=1,IF(AO102&lt;&gt;0,1,0),0)</f>
        <v>1</v>
      </c>
      <c r="BY102" s="163">
        <f t="shared" ref="BY102:BY115" si="157">IF(Q102=1,IF(AO102&lt;&gt;0,1,0),0)</f>
        <v>0</v>
      </c>
      <c r="BZ102" s="163">
        <f t="shared" ref="BZ102:BZ115" si="158">IF(R102=1,IF(AO102&lt;&gt;0,1,0),0)</f>
        <v>0</v>
      </c>
      <c r="CA102" s="163">
        <f t="shared" ref="CA102:CA115" si="159">IF(S102=1,IF(AO102&lt;&gt;0,1,0),0)</f>
        <v>0</v>
      </c>
      <c r="CB102" s="163">
        <f t="shared" ref="CB102:CB115" si="160">IF(T102=1,IF(AO102&lt;&gt;0,1,0),0)</f>
        <v>0</v>
      </c>
      <c r="CC102" s="163">
        <f t="shared" si="120"/>
        <v>2</v>
      </c>
      <c r="CD102" s="163">
        <f t="shared" si="121"/>
        <v>0</v>
      </c>
      <c r="CE102" s="163">
        <f t="shared" si="122"/>
        <v>0</v>
      </c>
      <c r="CF102" s="163">
        <f t="shared" si="123"/>
        <v>0</v>
      </c>
      <c r="CG102" s="163">
        <f t="shared" si="124"/>
        <v>0</v>
      </c>
      <c r="CI102" s="167"/>
      <c r="CJ102" s="167"/>
      <c r="CK102" s="5"/>
      <c r="CL102" s="5"/>
      <c r="CM102" s="5" t="str">
        <f t="shared" si="126"/>
        <v/>
      </c>
      <c r="CN102" s="5" t="str">
        <f t="shared" si="127"/>
        <v/>
      </c>
      <c r="CO102" s="5" t="str">
        <f t="shared" si="128"/>
        <v/>
      </c>
      <c r="CP102" s="5" t="str">
        <f t="shared" si="141"/>
        <v/>
      </c>
      <c r="CQ102" s="5" t="str">
        <f t="shared" si="129"/>
        <v/>
      </c>
      <c r="CR102" s="5" t="str">
        <f t="shared" si="130"/>
        <v/>
      </c>
      <c r="CS102" s="5" t="str">
        <f t="shared" si="131"/>
        <v/>
      </c>
      <c r="CT102" s="50">
        <f t="shared" si="132"/>
        <v>0</v>
      </c>
      <c r="CU102" s="50">
        <f t="shared" si="133"/>
        <v>0</v>
      </c>
      <c r="CV102" s="50">
        <f t="shared" si="134"/>
        <v>0</v>
      </c>
      <c r="CW102" s="50">
        <f t="shared" si="135"/>
        <v>0</v>
      </c>
      <c r="CX102" s="190">
        <f t="shared" si="142"/>
        <v>0</v>
      </c>
      <c r="CZ102" s="1">
        <v>1.95</v>
      </c>
      <c r="DA102" s="167">
        <f t="shared" si="136"/>
        <v>1.7</v>
      </c>
      <c r="DB102" s="1">
        <f>Alcantarillas!AX107</f>
        <v>14.4</v>
      </c>
      <c r="DC102" s="5">
        <f t="shared" si="137"/>
        <v>47.735999999999997</v>
      </c>
      <c r="DE102" s="172">
        <f t="shared" si="138"/>
        <v>429</v>
      </c>
      <c r="DF102" s="172">
        <f t="shared" si="139"/>
        <v>0</v>
      </c>
    </row>
    <row r="103" spans="14:110" x14ac:dyDescent="0.25">
      <c r="N103">
        <v>98</v>
      </c>
      <c r="O103" s="24">
        <f>Alcantarillas!E108</f>
        <v>25071.9</v>
      </c>
      <c r="P103" s="160">
        <f>IF(Alcantarillas!J108=1.2,1,0)</f>
        <v>1</v>
      </c>
      <c r="Q103" s="160">
        <f>IF(Alcantarillas!J108=1.3,1,0)</f>
        <v>0</v>
      </c>
      <c r="R103" s="160">
        <f>IF(Alcantarillas!J108=1.4,1,0)</f>
        <v>0</v>
      </c>
      <c r="S103" s="160">
        <f>IF(Alcantarillas!L108=1.2,1,0)</f>
        <v>0</v>
      </c>
      <c r="T103" s="160">
        <f>IF(Alcantarillas!L108=1.5,1,0)</f>
        <v>0</v>
      </c>
      <c r="V103" s="160">
        <f>IF(Alcantarillas!J108=1.2,Alcantarillas!AX108,0)</f>
        <v>11.4</v>
      </c>
      <c r="W103" s="160">
        <f>IF(Alcantarillas!J108=1.3,Alcantarillas!AX108,0)</f>
        <v>0</v>
      </c>
      <c r="X103" s="160">
        <f>IF(Alcantarillas!J108=1.4,Alcantarillas!AX108,0)</f>
        <v>0</v>
      </c>
      <c r="Y103" s="160">
        <f>IF(Alcantarillas!L108=1.2,Alcantarillas!AX108,0)</f>
        <v>0</v>
      </c>
      <c r="Z103" s="160">
        <f>IF(Alcantarillas!L108=1.5,Alcantarillas!AX108,0)</f>
        <v>0</v>
      </c>
      <c r="AB103" s="21">
        <v>1.9</v>
      </c>
      <c r="AC103" s="5">
        <f t="shared" si="102"/>
        <v>2.2000000000000002</v>
      </c>
      <c r="AD103" s="21">
        <v>0.2</v>
      </c>
      <c r="AE103" s="5">
        <f t="shared" si="103"/>
        <v>1.1309733552923256</v>
      </c>
      <c r="AF103" s="5">
        <f t="shared" si="104"/>
        <v>0.60980532894153494</v>
      </c>
      <c r="AG103" s="21">
        <v>2.12</v>
      </c>
      <c r="AH103" s="5">
        <f t="shared" si="105"/>
        <v>2.529866666666666</v>
      </c>
      <c r="AI103" s="5">
        <f t="shared" si="106"/>
        <v>0.50597333333333327</v>
      </c>
      <c r="AJ103" s="5">
        <f t="shared" si="107"/>
        <v>5.2</v>
      </c>
      <c r="AK103" s="5">
        <f t="shared" si="108"/>
        <v>5.5500000000000007</v>
      </c>
      <c r="AL103" s="5">
        <f t="shared" si="109"/>
        <v>1.1100000000000001</v>
      </c>
      <c r="AM103" s="5">
        <f t="shared" si="110"/>
        <v>2.2257786622748683</v>
      </c>
      <c r="AO103" s="21">
        <v>1.9</v>
      </c>
      <c r="AP103" s="5">
        <f t="shared" si="111"/>
        <v>2.2000000000000002</v>
      </c>
      <c r="AQ103" s="21">
        <v>0.2</v>
      </c>
      <c r="AR103" s="5">
        <f t="shared" si="112"/>
        <v>1.1309733552923256</v>
      </c>
      <c r="AS103" s="5">
        <f t="shared" si="113"/>
        <v>0.60980532894153494</v>
      </c>
      <c r="AT103" s="21">
        <v>2.12</v>
      </c>
      <c r="AU103" s="5">
        <f t="shared" si="114"/>
        <v>2.529866666666666</v>
      </c>
      <c r="AV103" s="5">
        <f t="shared" si="115"/>
        <v>0.50597333333333327</v>
      </c>
      <c r="AW103" s="5">
        <f t="shared" si="116"/>
        <v>5.2</v>
      </c>
      <c r="AX103" s="5">
        <f t="shared" si="117"/>
        <v>5.5500000000000007</v>
      </c>
      <c r="AY103" s="5">
        <f t="shared" si="118"/>
        <v>1.1100000000000001</v>
      </c>
      <c r="AZ103" s="5">
        <f t="shared" si="119"/>
        <v>2.2257786622748683</v>
      </c>
      <c r="BB103" s="163">
        <v>3</v>
      </c>
      <c r="BC103" s="118">
        <f t="shared" si="144"/>
        <v>4.5</v>
      </c>
      <c r="BD103" s="118">
        <f t="shared" si="143"/>
        <v>32.4</v>
      </c>
      <c r="BE103" s="167">
        <v>6.5</v>
      </c>
      <c r="BF103" s="118">
        <f t="shared" si="145"/>
        <v>46.800000000000004</v>
      </c>
      <c r="BG103" s="183"/>
      <c r="BH103" s="163"/>
      <c r="BI103" s="167"/>
      <c r="BJ103" s="167"/>
      <c r="BK103" s="167"/>
      <c r="BL103" s="167"/>
      <c r="BN103" s="5">
        <f t="shared" si="146"/>
        <v>4.4515573245497366</v>
      </c>
      <c r="BO103" s="5">
        <f t="shared" si="147"/>
        <v>0</v>
      </c>
      <c r="BP103" s="5">
        <f t="shared" si="148"/>
        <v>0</v>
      </c>
      <c r="BQ103" s="5">
        <f t="shared" si="149"/>
        <v>0</v>
      </c>
      <c r="BR103" s="5">
        <f t="shared" si="150"/>
        <v>0</v>
      </c>
      <c r="BS103" s="163">
        <f t="shared" si="151"/>
        <v>1</v>
      </c>
      <c r="BT103" s="163">
        <f t="shared" si="152"/>
        <v>0</v>
      </c>
      <c r="BU103" s="163">
        <f t="shared" si="153"/>
        <v>0</v>
      </c>
      <c r="BV103" s="163">
        <f t="shared" si="154"/>
        <v>0</v>
      </c>
      <c r="BW103" s="163">
        <f t="shared" si="155"/>
        <v>0</v>
      </c>
      <c r="BX103" s="163">
        <f t="shared" si="156"/>
        <v>1</v>
      </c>
      <c r="BY103" s="163">
        <f t="shared" si="157"/>
        <v>0</v>
      </c>
      <c r="BZ103" s="163">
        <f t="shared" si="158"/>
        <v>0</v>
      </c>
      <c r="CA103" s="163">
        <f t="shared" si="159"/>
        <v>0</v>
      </c>
      <c r="CB103" s="163">
        <f t="shared" si="160"/>
        <v>0</v>
      </c>
      <c r="CC103" s="163">
        <f t="shared" si="120"/>
        <v>2</v>
      </c>
      <c r="CD103" s="163">
        <f t="shared" si="121"/>
        <v>0</v>
      </c>
      <c r="CE103" s="163">
        <f t="shared" si="122"/>
        <v>0</v>
      </c>
      <c r="CF103" s="163">
        <f t="shared" si="123"/>
        <v>0</v>
      </c>
      <c r="CG103" s="163">
        <f t="shared" si="124"/>
        <v>0</v>
      </c>
      <c r="CI103" s="167"/>
      <c r="CJ103" s="167"/>
      <c r="CK103" s="5"/>
      <c r="CL103" s="5"/>
      <c r="CM103" s="5" t="str">
        <f t="shared" si="126"/>
        <v/>
      </c>
      <c r="CN103" s="5" t="str">
        <f t="shared" si="127"/>
        <v/>
      </c>
      <c r="CO103" s="5" t="str">
        <f t="shared" si="128"/>
        <v/>
      </c>
      <c r="CP103" s="5" t="str">
        <f t="shared" si="141"/>
        <v/>
      </c>
      <c r="CQ103" s="5" t="str">
        <f t="shared" si="129"/>
        <v/>
      </c>
      <c r="CR103" s="5" t="str">
        <f t="shared" si="130"/>
        <v/>
      </c>
      <c r="CS103" s="5" t="str">
        <f t="shared" si="131"/>
        <v/>
      </c>
      <c r="CT103" s="50">
        <f t="shared" si="132"/>
        <v>0</v>
      </c>
      <c r="CU103" s="50">
        <f t="shared" si="133"/>
        <v>0</v>
      </c>
      <c r="CV103" s="50">
        <f t="shared" si="134"/>
        <v>0</v>
      </c>
      <c r="CW103" s="50">
        <f t="shared" si="135"/>
        <v>0</v>
      </c>
      <c r="CX103" s="190">
        <f t="shared" si="142"/>
        <v>0</v>
      </c>
      <c r="CZ103" s="1">
        <v>2.1</v>
      </c>
      <c r="DA103" s="167">
        <f t="shared" si="136"/>
        <v>1.7</v>
      </c>
      <c r="DB103" s="1">
        <f>Alcantarillas!AX108</f>
        <v>11.4</v>
      </c>
      <c r="DC103" s="5">
        <f t="shared" si="137"/>
        <v>40.698</v>
      </c>
      <c r="DE103" s="172">
        <f t="shared" si="138"/>
        <v>117</v>
      </c>
      <c r="DF103" s="172">
        <f t="shared" si="139"/>
        <v>0</v>
      </c>
    </row>
    <row r="104" spans="14:110" x14ac:dyDescent="0.25">
      <c r="N104">
        <v>99</v>
      </c>
      <c r="O104" s="24">
        <f>Alcantarillas!E109</f>
        <v>25478</v>
      </c>
      <c r="P104" s="160">
        <f>IF(Alcantarillas!J109=1.2,1,0)</f>
        <v>0</v>
      </c>
      <c r="Q104" s="160">
        <f>IF(Alcantarillas!J109=1.3,1,0)</f>
        <v>0</v>
      </c>
      <c r="R104" s="160">
        <f>IF(Alcantarillas!J109=1.4,1,0)</f>
        <v>0</v>
      </c>
      <c r="S104" s="160">
        <f>IF(Alcantarillas!L109=1.2,1,0)</f>
        <v>0</v>
      </c>
      <c r="T104" s="160">
        <f>IF(Alcantarillas!L109=1.5,1,0)</f>
        <v>1</v>
      </c>
      <c r="V104" s="160">
        <f>IF(Alcantarillas!J109=1.2,Alcantarillas!AX109,0)</f>
        <v>0</v>
      </c>
      <c r="W104" s="160">
        <f>IF(Alcantarillas!J109=1.3,Alcantarillas!AX109,0)</f>
        <v>0</v>
      </c>
      <c r="X104" s="160">
        <f>IF(Alcantarillas!J109=1.4,Alcantarillas!AX109,0)</f>
        <v>0</v>
      </c>
      <c r="Y104" s="160">
        <f>IF(Alcantarillas!L109=1.2,Alcantarillas!AX109,0)</f>
        <v>0</v>
      </c>
      <c r="Z104" s="160">
        <f>IF(Alcantarillas!L109=1.5,Alcantarillas!AX109,0)</f>
        <v>22.1</v>
      </c>
      <c r="AB104" s="21">
        <v>2.9</v>
      </c>
      <c r="AC104" s="5">
        <f t="shared" si="102"/>
        <v>2.5</v>
      </c>
      <c r="AD104" s="21">
        <v>0.2</v>
      </c>
      <c r="AE104" s="5">
        <f t="shared" si="103"/>
        <v>2.25</v>
      </c>
      <c r="AF104" s="5">
        <f t="shared" si="104"/>
        <v>1</v>
      </c>
      <c r="AG104" s="21">
        <v>2.12</v>
      </c>
      <c r="AH104" s="5">
        <f t="shared" si="105"/>
        <v>4.6498666666666661</v>
      </c>
      <c r="AI104" s="5">
        <f t="shared" si="106"/>
        <v>0.92997333333333332</v>
      </c>
      <c r="AJ104" s="5">
        <f t="shared" si="107"/>
        <v>5.5</v>
      </c>
      <c r="AK104" s="5">
        <f t="shared" si="108"/>
        <v>6</v>
      </c>
      <c r="AL104" s="5">
        <f t="shared" si="109"/>
        <v>1.2000000000000002</v>
      </c>
      <c r="AM104" s="5">
        <f t="shared" si="110"/>
        <v>3.1299733333333335</v>
      </c>
      <c r="AO104" s="21">
        <v>2</v>
      </c>
      <c r="AP104" s="5">
        <f t="shared" si="111"/>
        <v>2.5</v>
      </c>
      <c r="AQ104" s="21">
        <v>0.2</v>
      </c>
      <c r="AR104" s="5">
        <f t="shared" si="112"/>
        <v>2.25</v>
      </c>
      <c r="AS104" s="5">
        <f t="shared" si="113"/>
        <v>0.55000000000000004</v>
      </c>
      <c r="AT104" s="21">
        <v>2.12</v>
      </c>
      <c r="AU104" s="5">
        <f t="shared" si="114"/>
        <v>2.7418666666666667</v>
      </c>
      <c r="AV104" s="5">
        <f t="shared" si="115"/>
        <v>0.54837333333333338</v>
      </c>
      <c r="AW104" s="5">
        <f t="shared" si="116"/>
        <v>5.5</v>
      </c>
      <c r="AX104" s="5">
        <f t="shared" si="117"/>
        <v>6</v>
      </c>
      <c r="AY104" s="5">
        <f t="shared" si="118"/>
        <v>1.2000000000000002</v>
      </c>
      <c r="AZ104" s="5">
        <f t="shared" si="119"/>
        <v>2.2983733333333336</v>
      </c>
      <c r="BB104" s="163">
        <v>3</v>
      </c>
      <c r="BC104" s="118">
        <f t="shared" si="144"/>
        <v>4.5</v>
      </c>
      <c r="BD104" s="118">
        <f t="shared" si="143"/>
        <v>33.75</v>
      </c>
      <c r="BE104" s="167">
        <v>6.1</v>
      </c>
      <c r="BF104" s="118">
        <f t="shared" si="145"/>
        <v>45.75</v>
      </c>
      <c r="BG104" s="183"/>
      <c r="BH104" s="163"/>
      <c r="BI104" s="167"/>
      <c r="BJ104" s="167"/>
      <c r="BK104" s="167"/>
      <c r="BL104" s="167"/>
      <c r="BN104" s="5">
        <f t="shared" si="146"/>
        <v>0</v>
      </c>
      <c r="BO104" s="5">
        <f t="shared" si="147"/>
        <v>0</v>
      </c>
      <c r="BP104" s="5">
        <f t="shared" si="148"/>
        <v>0</v>
      </c>
      <c r="BQ104" s="5">
        <f t="shared" si="149"/>
        <v>0</v>
      </c>
      <c r="BR104" s="5">
        <f t="shared" si="150"/>
        <v>5.4283466666666671</v>
      </c>
      <c r="BS104" s="163">
        <f t="shared" si="151"/>
        <v>0</v>
      </c>
      <c r="BT104" s="163">
        <f t="shared" si="152"/>
        <v>0</v>
      </c>
      <c r="BU104" s="163">
        <f t="shared" si="153"/>
        <v>0</v>
      </c>
      <c r="BV104" s="163">
        <f t="shared" si="154"/>
        <v>0</v>
      </c>
      <c r="BW104" s="163">
        <f t="shared" si="155"/>
        <v>1</v>
      </c>
      <c r="BX104" s="163">
        <f t="shared" si="156"/>
        <v>0</v>
      </c>
      <c r="BY104" s="163">
        <f t="shared" si="157"/>
        <v>0</v>
      </c>
      <c r="BZ104" s="163">
        <f t="shared" si="158"/>
        <v>0</v>
      </c>
      <c r="CA104" s="163">
        <f t="shared" si="159"/>
        <v>0</v>
      </c>
      <c r="CB104" s="163">
        <f t="shared" si="160"/>
        <v>1</v>
      </c>
      <c r="CC104" s="163">
        <f t="shared" si="120"/>
        <v>0</v>
      </c>
      <c r="CD104" s="163">
        <f t="shared" si="121"/>
        <v>0</v>
      </c>
      <c r="CE104" s="163">
        <f t="shared" si="122"/>
        <v>0</v>
      </c>
      <c r="CF104" s="163">
        <f t="shared" si="123"/>
        <v>0</v>
      </c>
      <c r="CG104" s="163">
        <f t="shared" si="124"/>
        <v>2</v>
      </c>
      <c r="CI104" s="167"/>
      <c r="CJ104" s="167"/>
      <c r="CK104" s="5"/>
      <c r="CL104" s="5" t="str">
        <f t="shared" si="125"/>
        <v/>
      </c>
      <c r="CM104" s="5" t="str">
        <f t="shared" si="126"/>
        <v/>
      </c>
      <c r="CN104" s="5" t="str">
        <f t="shared" si="127"/>
        <v/>
      </c>
      <c r="CO104" s="5"/>
      <c r="CP104" s="5" t="str">
        <f t="shared" si="141"/>
        <v/>
      </c>
      <c r="CQ104" s="5" t="str">
        <f t="shared" si="129"/>
        <v/>
      </c>
      <c r="CR104" s="5" t="str">
        <f t="shared" si="130"/>
        <v/>
      </c>
      <c r="CS104" s="5" t="str">
        <f t="shared" si="131"/>
        <v/>
      </c>
      <c r="CT104" s="50">
        <f t="shared" si="132"/>
        <v>0</v>
      </c>
      <c r="CU104" s="50">
        <f t="shared" si="133"/>
        <v>0</v>
      </c>
      <c r="CV104" s="50">
        <f t="shared" si="134"/>
        <v>0</v>
      </c>
      <c r="CW104" s="50">
        <f t="shared" si="135"/>
        <v>0</v>
      </c>
      <c r="CX104" s="190">
        <f t="shared" si="142"/>
        <v>0</v>
      </c>
      <c r="CZ104" s="1">
        <v>3.25</v>
      </c>
      <c r="DA104" s="167">
        <f t="shared" si="136"/>
        <v>1.8</v>
      </c>
      <c r="DB104" s="1">
        <f>Alcantarillas!AX109</f>
        <v>22.1</v>
      </c>
      <c r="DC104" s="5">
        <f t="shared" si="137"/>
        <v>129.28500000000003</v>
      </c>
      <c r="DE104" s="172">
        <f t="shared" si="138"/>
        <v>121.5</v>
      </c>
      <c r="DF104" s="172">
        <f t="shared" si="139"/>
        <v>0</v>
      </c>
    </row>
    <row r="105" spans="14:110" x14ac:dyDescent="0.25">
      <c r="N105">
        <v>100</v>
      </c>
      <c r="O105" s="24">
        <f>Alcantarillas!E110</f>
        <v>25617.8</v>
      </c>
      <c r="P105" s="160">
        <f>IF(Alcantarillas!J110=1.2,1,0)</f>
        <v>0</v>
      </c>
      <c r="Q105" s="160">
        <f>IF(Alcantarillas!J110=1.3,1,0)</f>
        <v>0</v>
      </c>
      <c r="R105" s="160">
        <f>IF(Alcantarillas!J110=1.4,1,0)</f>
        <v>0</v>
      </c>
      <c r="S105" s="160">
        <f>IF(Alcantarillas!L110=1.2,1,0)</f>
        <v>0</v>
      </c>
      <c r="T105" s="160">
        <f>IF(Alcantarillas!L110=1.5,1,0)</f>
        <v>1</v>
      </c>
      <c r="V105" s="160">
        <f>IF(Alcantarillas!J110=1.2,Alcantarillas!AX110,0)</f>
        <v>0</v>
      </c>
      <c r="W105" s="160">
        <f>IF(Alcantarillas!J110=1.3,Alcantarillas!AX110,0)</f>
        <v>0</v>
      </c>
      <c r="X105" s="160">
        <f>IF(Alcantarillas!J110=1.4,Alcantarillas!AX110,0)</f>
        <v>0</v>
      </c>
      <c r="Y105" s="160">
        <f>IF(Alcantarillas!L110=1.2,Alcantarillas!AX110,0)</f>
        <v>0</v>
      </c>
      <c r="Z105" s="160">
        <f>IF(Alcantarillas!L110=1.5,Alcantarillas!AX110,0)</f>
        <v>11.8</v>
      </c>
      <c r="AB105" s="21">
        <v>2.2000000000000002</v>
      </c>
      <c r="AC105" s="5">
        <f t="shared" si="102"/>
        <v>2.5</v>
      </c>
      <c r="AD105" s="21">
        <v>0.2</v>
      </c>
      <c r="AE105" s="5">
        <f t="shared" si="103"/>
        <v>2.25</v>
      </c>
      <c r="AF105" s="5">
        <f t="shared" si="104"/>
        <v>0.65</v>
      </c>
      <c r="AG105" s="21">
        <v>2.12</v>
      </c>
      <c r="AH105" s="5">
        <f t="shared" si="105"/>
        <v>3.1658666666666671</v>
      </c>
      <c r="AI105" s="5">
        <f t="shared" si="106"/>
        <v>0.63317333333333348</v>
      </c>
      <c r="AJ105" s="5">
        <f t="shared" si="107"/>
        <v>5.5</v>
      </c>
      <c r="AK105" s="5">
        <f t="shared" si="108"/>
        <v>6</v>
      </c>
      <c r="AL105" s="5">
        <f t="shared" si="109"/>
        <v>1.2000000000000002</v>
      </c>
      <c r="AM105" s="5">
        <f t="shared" si="110"/>
        <v>2.4831733333333337</v>
      </c>
      <c r="AO105" s="21">
        <v>1.9</v>
      </c>
      <c r="AP105" s="5">
        <f t="shared" si="111"/>
        <v>2.5</v>
      </c>
      <c r="AQ105" s="21">
        <v>0.2</v>
      </c>
      <c r="AR105" s="5">
        <f t="shared" si="112"/>
        <v>2.25</v>
      </c>
      <c r="AS105" s="5">
        <f t="shared" si="113"/>
        <v>0.5</v>
      </c>
      <c r="AT105" s="21">
        <v>2.12</v>
      </c>
      <c r="AU105" s="5">
        <f t="shared" si="114"/>
        <v>2.529866666666666</v>
      </c>
      <c r="AV105" s="5">
        <f t="shared" si="115"/>
        <v>0.50597333333333327</v>
      </c>
      <c r="AW105" s="5">
        <f t="shared" si="116"/>
        <v>5.5</v>
      </c>
      <c r="AX105" s="5">
        <f t="shared" si="117"/>
        <v>6</v>
      </c>
      <c r="AY105" s="5">
        <f t="shared" si="118"/>
        <v>1.2000000000000002</v>
      </c>
      <c r="AZ105" s="5">
        <f t="shared" si="119"/>
        <v>2.2059733333333336</v>
      </c>
      <c r="BB105" s="163"/>
      <c r="BC105" s="118"/>
      <c r="BD105" s="118"/>
      <c r="BE105" s="167"/>
      <c r="BF105" s="118"/>
      <c r="BG105" s="183"/>
      <c r="BH105" s="163"/>
      <c r="BI105" s="167"/>
      <c r="BJ105" s="167"/>
      <c r="BK105" s="167"/>
      <c r="BL105" s="167"/>
      <c r="BN105" s="5">
        <f t="shared" si="146"/>
        <v>0</v>
      </c>
      <c r="BO105" s="5">
        <f t="shared" si="147"/>
        <v>0</v>
      </c>
      <c r="BP105" s="5">
        <f t="shared" si="148"/>
        <v>0</v>
      </c>
      <c r="BQ105" s="5">
        <f t="shared" si="149"/>
        <v>0</v>
      </c>
      <c r="BR105" s="5">
        <f t="shared" si="150"/>
        <v>4.6891466666666677</v>
      </c>
      <c r="BS105" s="163">
        <f t="shared" si="151"/>
        <v>0</v>
      </c>
      <c r="BT105" s="163">
        <f t="shared" si="152"/>
        <v>0</v>
      </c>
      <c r="BU105" s="163">
        <f t="shared" si="153"/>
        <v>0</v>
      </c>
      <c r="BV105" s="163">
        <f t="shared" si="154"/>
        <v>0</v>
      </c>
      <c r="BW105" s="163">
        <f t="shared" si="155"/>
        <v>1</v>
      </c>
      <c r="BX105" s="163">
        <f t="shared" si="156"/>
        <v>0</v>
      </c>
      <c r="BY105" s="163">
        <f t="shared" si="157"/>
        <v>0</v>
      </c>
      <c r="BZ105" s="163">
        <f t="shared" si="158"/>
        <v>0</v>
      </c>
      <c r="CA105" s="163">
        <f t="shared" si="159"/>
        <v>0</v>
      </c>
      <c r="CB105" s="163">
        <f t="shared" si="160"/>
        <v>1</v>
      </c>
      <c r="CC105" s="163">
        <f t="shared" si="120"/>
        <v>0</v>
      </c>
      <c r="CD105" s="163">
        <f t="shared" si="121"/>
        <v>0</v>
      </c>
      <c r="CE105" s="163">
        <f t="shared" si="122"/>
        <v>0</v>
      </c>
      <c r="CF105" s="163">
        <f t="shared" si="123"/>
        <v>0</v>
      </c>
      <c r="CG105" s="163">
        <f t="shared" si="124"/>
        <v>2</v>
      </c>
      <c r="CI105" s="167"/>
      <c r="CJ105" s="167"/>
      <c r="CK105" s="5"/>
      <c r="CL105" s="5" t="str">
        <f t="shared" si="125"/>
        <v/>
      </c>
      <c r="CM105" s="5" t="str">
        <f t="shared" si="126"/>
        <v/>
      </c>
      <c r="CN105" s="5" t="str">
        <f t="shared" si="127"/>
        <v/>
      </c>
      <c r="CO105" s="5"/>
      <c r="CP105" s="5" t="str">
        <f t="shared" si="141"/>
        <v/>
      </c>
      <c r="CQ105" s="5" t="str">
        <f t="shared" si="129"/>
        <v/>
      </c>
      <c r="CR105" s="5" t="str">
        <f t="shared" si="130"/>
        <v/>
      </c>
      <c r="CS105" s="5" t="str">
        <f t="shared" si="131"/>
        <v/>
      </c>
      <c r="CT105" s="50">
        <f t="shared" si="132"/>
        <v>0</v>
      </c>
      <c r="CU105" s="50">
        <f t="shared" si="133"/>
        <v>0</v>
      </c>
      <c r="CV105" s="50">
        <f t="shared" si="134"/>
        <v>0</v>
      </c>
      <c r="CW105" s="50">
        <f t="shared" si="135"/>
        <v>0</v>
      </c>
      <c r="CX105" s="190">
        <f t="shared" si="142"/>
        <v>0</v>
      </c>
      <c r="CZ105" s="1">
        <v>2.2999999999999998</v>
      </c>
      <c r="DA105" s="167">
        <f t="shared" si="136"/>
        <v>1.8</v>
      </c>
      <c r="DB105" s="1">
        <f>Alcantarillas!AX110</f>
        <v>11.8</v>
      </c>
      <c r="DC105" s="5">
        <f t="shared" si="137"/>
        <v>48.851999999999997</v>
      </c>
      <c r="DE105" s="172">
        <f t="shared" si="138"/>
        <v>0</v>
      </c>
      <c r="DF105" s="172">
        <f t="shared" si="139"/>
        <v>0</v>
      </c>
    </row>
    <row r="106" spans="14:110" x14ac:dyDescent="0.25">
      <c r="N106">
        <v>101</v>
      </c>
      <c r="O106" s="24">
        <f>Alcantarillas!E111</f>
        <v>25998.2</v>
      </c>
      <c r="P106" s="160">
        <f>IF(Alcantarillas!J111=1.2,1,0)</f>
        <v>0</v>
      </c>
      <c r="Q106" s="160">
        <f>IF(Alcantarillas!J111=1.3,1,0)</f>
        <v>0</v>
      </c>
      <c r="R106" s="160">
        <f>IF(Alcantarillas!J111=1.4,1,0)</f>
        <v>1</v>
      </c>
      <c r="S106" s="160">
        <f>IF(Alcantarillas!L111=1.2,1,0)</f>
        <v>0</v>
      </c>
      <c r="T106" s="160">
        <f>IF(Alcantarillas!L111=1.5,1,0)</f>
        <v>0</v>
      </c>
      <c r="V106" s="160">
        <f>IF(Alcantarillas!J111=1.2,Alcantarillas!AX111,0)</f>
        <v>0</v>
      </c>
      <c r="W106" s="160">
        <f>IF(Alcantarillas!J111=1.3,Alcantarillas!AX111,0)</f>
        <v>0</v>
      </c>
      <c r="X106" s="160">
        <f>IF(Alcantarillas!J111=1.4,Alcantarillas!AX111,0)</f>
        <v>10.6</v>
      </c>
      <c r="Y106" s="160">
        <f>IF(Alcantarillas!L111=1.2,Alcantarillas!AX111,0)</f>
        <v>0</v>
      </c>
      <c r="Z106" s="160">
        <f>IF(Alcantarillas!L111=1.5,Alcantarillas!AX111,0)</f>
        <v>0</v>
      </c>
      <c r="AB106" s="21">
        <v>2.2000000000000002</v>
      </c>
      <c r="AC106" s="5">
        <f t="shared" si="102"/>
        <v>2.4</v>
      </c>
      <c r="AD106" s="21">
        <v>0.2</v>
      </c>
      <c r="AE106" s="5">
        <f t="shared" si="103"/>
        <v>1.5393804002589984</v>
      </c>
      <c r="AF106" s="5">
        <f t="shared" si="104"/>
        <v>0.74812391994820038</v>
      </c>
      <c r="AG106" s="21">
        <v>2.12</v>
      </c>
      <c r="AH106" s="5">
        <f t="shared" si="105"/>
        <v>3.1658666666666671</v>
      </c>
      <c r="AI106" s="5">
        <f t="shared" si="106"/>
        <v>0.63317333333333348</v>
      </c>
      <c r="AJ106" s="5">
        <f t="shared" si="107"/>
        <v>5.4</v>
      </c>
      <c r="AK106" s="5">
        <f t="shared" si="108"/>
        <v>5.8500000000000005</v>
      </c>
      <c r="AL106" s="5">
        <f t="shared" si="109"/>
        <v>1.1700000000000002</v>
      </c>
      <c r="AM106" s="5">
        <f t="shared" si="110"/>
        <v>2.5512972532815343</v>
      </c>
      <c r="AO106" s="21">
        <v>1.6</v>
      </c>
      <c r="AP106" s="5">
        <f t="shared" si="111"/>
        <v>2.4</v>
      </c>
      <c r="AQ106" s="21">
        <v>0.2</v>
      </c>
      <c r="AR106" s="5">
        <f t="shared" si="112"/>
        <v>1.5393804002589984</v>
      </c>
      <c r="AS106" s="5">
        <f t="shared" si="113"/>
        <v>0.46012391994820034</v>
      </c>
      <c r="AT106" s="21">
        <v>2.12</v>
      </c>
      <c r="AU106" s="5">
        <f t="shared" si="114"/>
        <v>1.893866666666667</v>
      </c>
      <c r="AV106" s="5">
        <f t="shared" si="115"/>
        <v>0.37877333333333341</v>
      </c>
      <c r="AW106" s="5">
        <f t="shared" si="116"/>
        <v>5.4</v>
      </c>
      <c r="AX106" s="5">
        <f t="shared" si="117"/>
        <v>5.8500000000000005</v>
      </c>
      <c r="AY106" s="5">
        <f t="shared" si="118"/>
        <v>1.1700000000000002</v>
      </c>
      <c r="AZ106" s="5">
        <f t="shared" si="119"/>
        <v>2.0088972532815337</v>
      </c>
      <c r="BB106" s="163">
        <v>23</v>
      </c>
      <c r="BC106" s="118">
        <f t="shared" si="144"/>
        <v>34.5</v>
      </c>
      <c r="BD106" s="118">
        <f t="shared" si="143"/>
        <v>255.3</v>
      </c>
      <c r="BE106" s="167">
        <v>19.399999999999999</v>
      </c>
      <c r="BF106" s="118">
        <f t="shared" si="145"/>
        <v>143.56</v>
      </c>
      <c r="BG106" s="183"/>
      <c r="BH106" s="163"/>
      <c r="BI106" s="167"/>
      <c r="BJ106" s="167"/>
      <c r="BK106" s="167"/>
      <c r="BL106" s="167"/>
      <c r="BN106" s="5">
        <f t="shared" si="146"/>
        <v>0</v>
      </c>
      <c r="BO106" s="5">
        <f t="shared" si="147"/>
        <v>0</v>
      </c>
      <c r="BP106" s="5">
        <f t="shared" si="148"/>
        <v>4.560194506563068</v>
      </c>
      <c r="BQ106" s="5">
        <f t="shared" si="149"/>
        <v>0</v>
      </c>
      <c r="BR106" s="5">
        <f t="shared" si="150"/>
        <v>0</v>
      </c>
      <c r="BS106" s="163">
        <f t="shared" si="151"/>
        <v>0</v>
      </c>
      <c r="BT106" s="163">
        <f t="shared" si="152"/>
        <v>0</v>
      </c>
      <c r="BU106" s="163">
        <f t="shared" si="153"/>
        <v>1</v>
      </c>
      <c r="BV106" s="163">
        <f t="shared" si="154"/>
        <v>0</v>
      </c>
      <c r="BW106" s="163">
        <f t="shared" si="155"/>
        <v>0</v>
      </c>
      <c r="BX106" s="163">
        <f t="shared" si="156"/>
        <v>0</v>
      </c>
      <c r="BY106" s="163">
        <f t="shared" si="157"/>
        <v>0</v>
      </c>
      <c r="BZ106" s="163">
        <f t="shared" si="158"/>
        <v>1</v>
      </c>
      <c r="CA106" s="163">
        <f t="shared" si="159"/>
        <v>0</v>
      </c>
      <c r="CB106" s="163">
        <f t="shared" si="160"/>
        <v>0</v>
      </c>
      <c r="CC106" s="163">
        <f t="shared" si="120"/>
        <v>0</v>
      </c>
      <c r="CD106" s="163">
        <f t="shared" si="121"/>
        <v>0</v>
      </c>
      <c r="CE106" s="163">
        <f t="shared" si="122"/>
        <v>2</v>
      </c>
      <c r="CF106" s="163">
        <f t="shared" si="123"/>
        <v>0</v>
      </c>
      <c r="CG106" s="163">
        <f t="shared" si="124"/>
        <v>0</v>
      </c>
      <c r="CI106" s="167"/>
      <c r="CJ106" s="167"/>
      <c r="CK106" s="5"/>
      <c r="CL106" s="5" t="str">
        <f t="shared" si="125"/>
        <v/>
      </c>
      <c r="CM106" s="5"/>
      <c r="CN106" s="5" t="str">
        <f t="shared" si="127"/>
        <v/>
      </c>
      <c r="CO106" s="5" t="str">
        <f t="shared" si="128"/>
        <v/>
      </c>
      <c r="CP106" s="5" t="str">
        <f t="shared" si="141"/>
        <v/>
      </c>
      <c r="CQ106" s="5" t="str">
        <f t="shared" si="129"/>
        <v/>
      </c>
      <c r="CR106" s="5" t="str">
        <f t="shared" si="130"/>
        <v/>
      </c>
      <c r="CS106" s="5" t="str">
        <f t="shared" si="131"/>
        <v/>
      </c>
      <c r="CT106" s="50">
        <f t="shared" si="132"/>
        <v>0</v>
      </c>
      <c r="CU106" s="50">
        <f t="shared" si="133"/>
        <v>0</v>
      </c>
      <c r="CV106" s="50">
        <f t="shared" si="134"/>
        <v>0</v>
      </c>
      <c r="CW106" s="50">
        <f t="shared" si="135"/>
        <v>0</v>
      </c>
      <c r="CX106" s="190">
        <f t="shared" si="142"/>
        <v>0</v>
      </c>
      <c r="CZ106" s="1">
        <v>2.4</v>
      </c>
      <c r="DA106" s="167">
        <f t="shared" si="136"/>
        <v>1.9</v>
      </c>
      <c r="DB106" s="1">
        <f>Alcantarillas!AX111</f>
        <v>10.6</v>
      </c>
      <c r="DC106" s="5">
        <f t="shared" si="137"/>
        <v>48.335999999999991</v>
      </c>
      <c r="DE106" s="172">
        <f t="shared" si="138"/>
        <v>920</v>
      </c>
      <c r="DF106" s="172">
        <f t="shared" si="139"/>
        <v>0</v>
      </c>
    </row>
    <row r="107" spans="14:110" x14ac:dyDescent="0.25">
      <c r="N107">
        <v>102</v>
      </c>
      <c r="O107" s="24">
        <f>Alcantarillas!E112</f>
        <v>26355</v>
      </c>
      <c r="P107" s="160">
        <f>IF(Alcantarillas!J112=1.2,1,0)</f>
        <v>0</v>
      </c>
      <c r="Q107" s="160">
        <f>IF(Alcantarillas!J112=1.3,1,0)</f>
        <v>0</v>
      </c>
      <c r="R107" s="160">
        <f>IF(Alcantarillas!J112=1.4,1,0)</f>
        <v>1</v>
      </c>
      <c r="S107" s="160">
        <f>IF(Alcantarillas!L112=1.2,1,0)</f>
        <v>0</v>
      </c>
      <c r="T107" s="160">
        <f>IF(Alcantarillas!L112=1.5,1,0)</f>
        <v>0</v>
      </c>
      <c r="V107" s="160">
        <f>IF(Alcantarillas!J112=1.2,Alcantarillas!AX112,0)</f>
        <v>0</v>
      </c>
      <c r="W107" s="160">
        <f>IF(Alcantarillas!J112=1.3,Alcantarillas!AX112,0)</f>
        <v>0</v>
      </c>
      <c r="X107" s="160">
        <f>IF(Alcantarillas!J112=1.4,Alcantarillas!AX112,0)</f>
        <v>11.55</v>
      </c>
      <c r="Y107" s="160">
        <f>IF(Alcantarillas!L112=1.2,Alcantarillas!AX112,0)</f>
        <v>0</v>
      </c>
      <c r="Z107" s="160">
        <f>IF(Alcantarillas!L112=1.5,Alcantarillas!AX112,0)</f>
        <v>0</v>
      </c>
      <c r="AB107" s="21"/>
      <c r="AC107" s="5">
        <f t="shared" si="102"/>
        <v>2.4</v>
      </c>
      <c r="AD107" s="21"/>
      <c r="AE107" s="5">
        <f t="shared" si="103"/>
        <v>1.5393804002589984</v>
      </c>
      <c r="AF107" s="5">
        <f t="shared" si="104"/>
        <v>0</v>
      </c>
      <c r="AG107" s="21"/>
      <c r="AH107" s="5">
        <f t="shared" si="105"/>
        <v>0</v>
      </c>
      <c r="AI107" s="5">
        <f t="shared" si="106"/>
        <v>0</v>
      </c>
      <c r="AJ107" s="5">
        <f t="shared" si="107"/>
        <v>5.4</v>
      </c>
      <c r="AK107" s="5">
        <f t="shared" si="108"/>
        <v>5.8500000000000005</v>
      </c>
      <c r="AL107" s="5">
        <f t="shared" si="109"/>
        <v>0</v>
      </c>
      <c r="AM107" s="5">
        <f t="shared" si="110"/>
        <v>0</v>
      </c>
      <c r="AO107" s="21">
        <v>1.6</v>
      </c>
      <c r="AP107" s="5">
        <f t="shared" si="111"/>
        <v>2.4</v>
      </c>
      <c r="AQ107" s="21">
        <v>0.2</v>
      </c>
      <c r="AR107" s="5">
        <f t="shared" si="112"/>
        <v>1.5393804002589984</v>
      </c>
      <c r="AS107" s="5">
        <f t="shared" si="113"/>
        <v>0.46012391994820034</v>
      </c>
      <c r="AT107" s="21">
        <v>2.12</v>
      </c>
      <c r="AU107" s="5">
        <f t="shared" si="114"/>
        <v>1.893866666666667</v>
      </c>
      <c r="AV107" s="5">
        <f t="shared" si="115"/>
        <v>0.37877333333333341</v>
      </c>
      <c r="AW107" s="5">
        <f t="shared" si="116"/>
        <v>5.4</v>
      </c>
      <c r="AX107" s="5">
        <f t="shared" si="117"/>
        <v>5.8500000000000005</v>
      </c>
      <c r="AY107" s="5">
        <f t="shared" si="118"/>
        <v>1.1700000000000002</v>
      </c>
      <c r="AZ107" s="5">
        <f t="shared" si="119"/>
        <v>2.0088972532815337</v>
      </c>
      <c r="BB107" s="163">
        <v>6</v>
      </c>
      <c r="BC107" s="118">
        <f t="shared" si="144"/>
        <v>9</v>
      </c>
      <c r="BD107" s="118">
        <f t="shared" si="143"/>
        <v>66.600000000000009</v>
      </c>
      <c r="BE107" s="167">
        <v>10.199999999999999</v>
      </c>
      <c r="BF107" s="118">
        <f t="shared" si="145"/>
        <v>75.48</v>
      </c>
      <c r="BG107" s="183"/>
      <c r="BH107" s="163"/>
      <c r="BI107" s="167"/>
      <c r="BJ107" s="167"/>
      <c r="BK107" s="167"/>
      <c r="BL107" s="167"/>
      <c r="BN107" s="5">
        <f t="shared" si="146"/>
        <v>0</v>
      </c>
      <c r="BO107" s="5">
        <f t="shared" si="147"/>
        <v>0</v>
      </c>
      <c r="BP107" s="5">
        <f t="shared" si="148"/>
        <v>2.0088972532815337</v>
      </c>
      <c r="BQ107" s="5">
        <f t="shared" si="149"/>
        <v>0</v>
      </c>
      <c r="BR107" s="5">
        <f t="shared" si="150"/>
        <v>0</v>
      </c>
      <c r="BS107" s="163">
        <f t="shared" si="151"/>
        <v>0</v>
      </c>
      <c r="BT107" s="163">
        <f t="shared" si="152"/>
        <v>0</v>
      </c>
      <c r="BU107" s="163">
        <f t="shared" si="153"/>
        <v>0</v>
      </c>
      <c r="BV107" s="163">
        <f t="shared" si="154"/>
        <v>0</v>
      </c>
      <c r="BW107" s="163">
        <f t="shared" si="155"/>
        <v>0</v>
      </c>
      <c r="BX107" s="163">
        <f t="shared" si="156"/>
        <v>0</v>
      </c>
      <c r="BY107" s="163">
        <f t="shared" si="157"/>
        <v>0</v>
      </c>
      <c r="BZ107" s="163">
        <f t="shared" si="158"/>
        <v>1</v>
      </c>
      <c r="CA107" s="163">
        <f t="shared" si="159"/>
        <v>0</v>
      </c>
      <c r="CB107" s="163">
        <f t="shared" si="160"/>
        <v>0</v>
      </c>
      <c r="CC107" s="163">
        <f t="shared" si="120"/>
        <v>0</v>
      </c>
      <c r="CD107" s="163">
        <f t="shared" si="121"/>
        <v>0</v>
      </c>
      <c r="CE107" s="163">
        <f t="shared" si="122"/>
        <v>1</v>
      </c>
      <c r="CF107" s="163">
        <f t="shared" si="123"/>
        <v>0</v>
      </c>
      <c r="CG107" s="163">
        <f t="shared" si="124"/>
        <v>0</v>
      </c>
      <c r="CI107" s="167">
        <v>4.2</v>
      </c>
      <c r="CJ107" s="167">
        <v>2.1</v>
      </c>
      <c r="CK107" s="5">
        <f t="shared" si="140"/>
        <v>7.5600000000000005</v>
      </c>
      <c r="CL107" s="5" t="str">
        <f t="shared" si="125"/>
        <v/>
      </c>
      <c r="CM107" s="5">
        <f t="shared" si="126"/>
        <v>1.9</v>
      </c>
      <c r="CN107" s="5" t="str">
        <f t="shared" si="127"/>
        <v/>
      </c>
      <c r="CO107" s="5" t="str">
        <f t="shared" si="128"/>
        <v/>
      </c>
      <c r="CP107" s="5" t="str">
        <f t="shared" si="141"/>
        <v/>
      </c>
      <c r="CQ107" s="5">
        <f t="shared" si="129"/>
        <v>2.0804999999999998</v>
      </c>
      <c r="CR107" s="5" t="str">
        <f t="shared" si="130"/>
        <v/>
      </c>
      <c r="CS107" s="5" t="str">
        <f t="shared" si="131"/>
        <v/>
      </c>
      <c r="CT107" s="50">
        <f t="shared" si="132"/>
        <v>0</v>
      </c>
      <c r="CU107" s="50">
        <f t="shared" si="133"/>
        <v>1</v>
      </c>
      <c r="CV107" s="50">
        <f t="shared" si="134"/>
        <v>0</v>
      </c>
      <c r="CW107" s="50">
        <f t="shared" si="135"/>
        <v>0</v>
      </c>
      <c r="CX107" s="190">
        <f t="shared" si="142"/>
        <v>1</v>
      </c>
      <c r="CZ107" s="1">
        <v>2.4</v>
      </c>
      <c r="DA107" s="167">
        <f t="shared" si="136"/>
        <v>1.9</v>
      </c>
      <c r="DB107" s="1">
        <f>Alcantarillas!AX112</f>
        <v>11.55</v>
      </c>
      <c r="DC107" s="5">
        <f t="shared" si="137"/>
        <v>52.667999999999999</v>
      </c>
      <c r="DE107" s="172">
        <f t="shared" si="138"/>
        <v>240</v>
      </c>
      <c r="DF107" s="172">
        <f t="shared" si="139"/>
        <v>0</v>
      </c>
    </row>
    <row r="108" spans="14:110" x14ac:dyDescent="0.25">
      <c r="N108">
        <v>103</v>
      </c>
      <c r="O108" s="24">
        <f>Alcantarillas!E113</f>
        <v>26642.3</v>
      </c>
      <c r="P108" s="160">
        <f>IF(Alcantarillas!J113=1.2,1,0)</f>
        <v>1</v>
      </c>
      <c r="Q108" s="160">
        <f>IF(Alcantarillas!J113=1.3,1,0)</f>
        <v>0</v>
      </c>
      <c r="R108" s="160">
        <f>IF(Alcantarillas!J113=1.4,1,0)</f>
        <v>0</v>
      </c>
      <c r="S108" s="160">
        <f>IF(Alcantarillas!L113=1.2,1,0)</f>
        <v>0</v>
      </c>
      <c r="T108" s="160">
        <f>IF(Alcantarillas!L113=1.5,1,0)</f>
        <v>0</v>
      </c>
      <c r="V108" s="160">
        <f>IF(Alcantarillas!J113=1.2,Alcantarillas!AX113,0)</f>
        <v>15.25</v>
      </c>
      <c r="W108" s="160">
        <f>IF(Alcantarillas!J113=1.3,Alcantarillas!AX113,0)</f>
        <v>0</v>
      </c>
      <c r="X108" s="160">
        <f>IF(Alcantarillas!J113=1.4,Alcantarillas!AX113,0)</f>
        <v>0</v>
      </c>
      <c r="Y108" s="160">
        <f>IF(Alcantarillas!L113=1.2,Alcantarillas!AX113,0)</f>
        <v>0</v>
      </c>
      <c r="Z108" s="160">
        <f>IF(Alcantarillas!L113=1.5,Alcantarillas!AX113,0)</f>
        <v>0</v>
      </c>
      <c r="AB108" s="21"/>
      <c r="AC108" s="5">
        <f t="shared" si="102"/>
        <v>2.2000000000000002</v>
      </c>
      <c r="AD108" s="21"/>
      <c r="AE108" s="5">
        <f t="shared" si="103"/>
        <v>1.1309733552923256</v>
      </c>
      <c r="AF108" s="5">
        <f t="shared" si="104"/>
        <v>0</v>
      </c>
      <c r="AG108" s="21"/>
      <c r="AH108" s="5">
        <f t="shared" si="105"/>
        <v>0</v>
      </c>
      <c r="AI108" s="5">
        <f t="shared" si="106"/>
        <v>0</v>
      </c>
      <c r="AJ108" s="5">
        <f t="shared" si="107"/>
        <v>5.2</v>
      </c>
      <c r="AK108" s="5">
        <f t="shared" si="108"/>
        <v>5.5500000000000007</v>
      </c>
      <c r="AL108" s="5">
        <f t="shared" si="109"/>
        <v>0</v>
      </c>
      <c r="AM108" s="5">
        <f t="shared" si="110"/>
        <v>0</v>
      </c>
      <c r="AO108" s="21">
        <v>1.6</v>
      </c>
      <c r="AP108" s="5">
        <f t="shared" si="111"/>
        <v>2.2000000000000002</v>
      </c>
      <c r="AQ108" s="21">
        <v>0.2</v>
      </c>
      <c r="AR108" s="5">
        <f t="shared" si="112"/>
        <v>1.1309733552923256</v>
      </c>
      <c r="AS108" s="5">
        <f t="shared" si="113"/>
        <v>0.47780532894153505</v>
      </c>
      <c r="AT108" s="21">
        <v>2.12</v>
      </c>
      <c r="AU108" s="5">
        <f t="shared" si="114"/>
        <v>1.893866666666667</v>
      </c>
      <c r="AV108" s="5">
        <f t="shared" si="115"/>
        <v>0.37877333333333341</v>
      </c>
      <c r="AW108" s="5">
        <f t="shared" si="116"/>
        <v>5.2</v>
      </c>
      <c r="AX108" s="5">
        <f t="shared" si="117"/>
        <v>5.5500000000000007</v>
      </c>
      <c r="AY108" s="5">
        <f t="shared" si="118"/>
        <v>1.1100000000000001</v>
      </c>
      <c r="AZ108" s="5">
        <f t="shared" si="119"/>
        <v>1.9665786622748684</v>
      </c>
      <c r="BB108" s="163"/>
      <c r="BC108" s="118"/>
      <c r="BD108" s="118"/>
      <c r="BE108" s="167"/>
      <c r="BF108" s="118"/>
      <c r="BG108" s="183"/>
      <c r="BH108" s="163"/>
      <c r="BI108" s="167"/>
      <c r="BJ108" s="167"/>
      <c r="BK108" s="167"/>
      <c r="BL108" s="167"/>
      <c r="BN108" s="5">
        <f t="shared" si="146"/>
        <v>1.9665786622748684</v>
      </c>
      <c r="BO108" s="5">
        <f t="shared" si="147"/>
        <v>0</v>
      </c>
      <c r="BP108" s="5">
        <f t="shared" si="148"/>
        <v>0</v>
      </c>
      <c r="BQ108" s="5">
        <f t="shared" si="149"/>
        <v>0</v>
      </c>
      <c r="BR108" s="5">
        <f t="shared" si="150"/>
        <v>0</v>
      </c>
      <c r="BS108" s="163">
        <f t="shared" si="151"/>
        <v>0</v>
      </c>
      <c r="BT108" s="163">
        <f t="shared" si="152"/>
        <v>0</v>
      </c>
      <c r="BU108" s="163">
        <f t="shared" si="153"/>
        <v>0</v>
      </c>
      <c r="BV108" s="163">
        <f t="shared" si="154"/>
        <v>0</v>
      </c>
      <c r="BW108" s="163">
        <f t="shared" si="155"/>
        <v>0</v>
      </c>
      <c r="BX108" s="163">
        <f t="shared" si="156"/>
        <v>1</v>
      </c>
      <c r="BY108" s="163">
        <f t="shared" si="157"/>
        <v>0</v>
      </c>
      <c r="BZ108" s="163">
        <f t="shared" si="158"/>
        <v>0</v>
      </c>
      <c r="CA108" s="163">
        <f t="shared" si="159"/>
        <v>0</v>
      </c>
      <c r="CB108" s="163">
        <f t="shared" si="160"/>
        <v>0</v>
      </c>
      <c r="CC108" s="163">
        <f t="shared" si="120"/>
        <v>1</v>
      </c>
      <c r="CD108" s="163">
        <f t="shared" si="121"/>
        <v>0</v>
      </c>
      <c r="CE108" s="163">
        <f t="shared" si="122"/>
        <v>0</v>
      </c>
      <c r="CF108" s="163">
        <f t="shared" si="123"/>
        <v>0</v>
      </c>
      <c r="CG108" s="163">
        <f t="shared" si="124"/>
        <v>0</v>
      </c>
      <c r="CI108" s="167">
        <v>4.2</v>
      </c>
      <c r="CJ108" s="167">
        <v>2.1</v>
      </c>
      <c r="CK108" s="5">
        <f t="shared" si="140"/>
        <v>6.9300000000000015</v>
      </c>
      <c r="CL108" s="5">
        <f t="shared" si="125"/>
        <v>1.7</v>
      </c>
      <c r="CM108" s="5" t="str">
        <f t="shared" si="126"/>
        <v/>
      </c>
      <c r="CN108" s="5" t="str">
        <f t="shared" si="127"/>
        <v/>
      </c>
      <c r="CO108" s="5" t="str">
        <f t="shared" si="128"/>
        <v/>
      </c>
      <c r="CP108" s="5">
        <f t="shared" si="141"/>
        <v>1.8614999999999997</v>
      </c>
      <c r="CQ108" s="5" t="str">
        <f t="shared" si="129"/>
        <v/>
      </c>
      <c r="CR108" s="5" t="str">
        <f t="shared" si="130"/>
        <v/>
      </c>
      <c r="CS108" s="5" t="str">
        <f t="shared" si="131"/>
        <v/>
      </c>
      <c r="CT108" s="50">
        <f t="shared" si="132"/>
        <v>1</v>
      </c>
      <c r="CU108" s="50">
        <f t="shared" si="133"/>
        <v>0</v>
      </c>
      <c r="CV108" s="50">
        <f t="shared" si="134"/>
        <v>0</v>
      </c>
      <c r="CW108" s="50">
        <f t="shared" si="135"/>
        <v>0</v>
      </c>
      <c r="CX108" s="190">
        <f t="shared" si="142"/>
        <v>1</v>
      </c>
      <c r="CZ108" s="1">
        <v>2.1</v>
      </c>
      <c r="DA108" s="167">
        <f t="shared" si="136"/>
        <v>1.7</v>
      </c>
      <c r="DB108" s="1">
        <f>Alcantarillas!AX113</f>
        <v>15.25</v>
      </c>
      <c r="DC108" s="5">
        <f t="shared" si="137"/>
        <v>54.442499999999995</v>
      </c>
      <c r="DE108" s="172">
        <f t="shared" si="138"/>
        <v>0</v>
      </c>
      <c r="DF108" s="172">
        <f t="shared" si="139"/>
        <v>0</v>
      </c>
    </row>
    <row r="109" spans="14:110" x14ac:dyDescent="0.25">
      <c r="N109">
        <v>104</v>
      </c>
      <c r="O109" s="24">
        <f>Alcantarillas!E114</f>
        <v>27014</v>
      </c>
      <c r="P109" s="160">
        <f>IF(Alcantarillas!J114=1.2,1,0)</f>
        <v>0</v>
      </c>
      <c r="Q109" s="160">
        <f>IF(Alcantarillas!J114=1.3,1,0)</f>
        <v>0</v>
      </c>
      <c r="R109" s="160">
        <f>IF(Alcantarillas!J114=1.4,1,0)</f>
        <v>0</v>
      </c>
      <c r="S109" s="160">
        <f>IF(Alcantarillas!L114=1.2,1,0)</f>
        <v>1</v>
      </c>
      <c r="T109" s="160">
        <f>IF(Alcantarillas!L114=1.5,1,0)</f>
        <v>0</v>
      </c>
      <c r="V109" s="160">
        <f>IF(Alcantarillas!J114=1.2,Alcantarillas!AX114,0)</f>
        <v>0</v>
      </c>
      <c r="W109" s="160">
        <f>IF(Alcantarillas!J114=1.3,Alcantarillas!AX114,0)</f>
        <v>0</v>
      </c>
      <c r="X109" s="160">
        <f>IF(Alcantarillas!J114=1.4,Alcantarillas!AX114,0)</f>
        <v>0</v>
      </c>
      <c r="Y109" s="160">
        <f>IF(Alcantarillas!L114=1.2,Alcantarillas!AX114,0)</f>
        <v>10.45</v>
      </c>
      <c r="Z109" s="160">
        <f>IF(Alcantarillas!L114=1.5,Alcantarillas!AX114,0)</f>
        <v>0</v>
      </c>
      <c r="AB109" s="21">
        <v>2.2000000000000002</v>
      </c>
      <c r="AC109" s="5">
        <f t="shared" si="102"/>
        <v>2.2000000000000002</v>
      </c>
      <c r="AD109" s="21">
        <v>0.2</v>
      </c>
      <c r="AE109" s="5">
        <f t="shared" si="103"/>
        <v>1.44</v>
      </c>
      <c r="AF109" s="5">
        <f t="shared" si="104"/>
        <v>0.68000000000000016</v>
      </c>
      <c r="AG109" s="21">
        <v>2.12</v>
      </c>
      <c r="AH109" s="5">
        <f t="shared" si="105"/>
        <v>3.1658666666666671</v>
      </c>
      <c r="AI109" s="5">
        <f t="shared" si="106"/>
        <v>0.63317333333333348</v>
      </c>
      <c r="AJ109" s="5">
        <f t="shared" si="107"/>
        <v>5.2</v>
      </c>
      <c r="AK109" s="5">
        <f t="shared" si="108"/>
        <v>5.5500000000000007</v>
      </c>
      <c r="AL109" s="5">
        <f t="shared" si="109"/>
        <v>1.1100000000000001</v>
      </c>
      <c r="AM109" s="5">
        <f t="shared" si="110"/>
        <v>2.4231733333333336</v>
      </c>
      <c r="AO109" s="21">
        <v>1.7</v>
      </c>
      <c r="AP109" s="5">
        <f t="shared" si="111"/>
        <v>2.2000000000000002</v>
      </c>
      <c r="AQ109" s="21">
        <v>0.2</v>
      </c>
      <c r="AR109" s="5">
        <f t="shared" si="112"/>
        <v>1.44</v>
      </c>
      <c r="AS109" s="5">
        <f t="shared" si="113"/>
        <v>0.46000000000000008</v>
      </c>
      <c r="AT109" s="21">
        <v>2.12</v>
      </c>
      <c r="AU109" s="5">
        <f t="shared" si="114"/>
        <v>2.1058666666666666</v>
      </c>
      <c r="AV109" s="5">
        <f t="shared" si="115"/>
        <v>0.42117333333333334</v>
      </c>
      <c r="AW109" s="5">
        <f t="shared" si="116"/>
        <v>5.2</v>
      </c>
      <c r="AX109" s="5">
        <f t="shared" si="117"/>
        <v>5.5500000000000007</v>
      </c>
      <c r="AY109" s="5">
        <f t="shared" si="118"/>
        <v>1.1100000000000001</v>
      </c>
      <c r="AZ109" s="5">
        <f t="shared" si="119"/>
        <v>1.9911733333333335</v>
      </c>
      <c r="BB109" s="163"/>
      <c r="BC109" s="118"/>
      <c r="BD109" s="118"/>
      <c r="BE109" s="167"/>
      <c r="BF109" s="118"/>
      <c r="BG109" s="183"/>
      <c r="BH109" s="163"/>
      <c r="BI109" s="167"/>
      <c r="BJ109" s="167"/>
      <c r="BK109" s="167"/>
      <c r="BL109" s="167"/>
      <c r="BN109" s="5">
        <f t="shared" si="146"/>
        <v>0</v>
      </c>
      <c r="BO109" s="5">
        <f t="shared" si="147"/>
        <v>0</v>
      </c>
      <c r="BP109" s="5">
        <f t="shared" si="148"/>
        <v>0</v>
      </c>
      <c r="BQ109" s="5">
        <f t="shared" si="149"/>
        <v>4.4143466666666669</v>
      </c>
      <c r="BR109" s="5">
        <f t="shared" si="150"/>
        <v>0</v>
      </c>
      <c r="BS109" s="163">
        <f t="shared" si="151"/>
        <v>0</v>
      </c>
      <c r="BT109" s="163">
        <f t="shared" si="152"/>
        <v>0</v>
      </c>
      <c r="BU109" s="163">
        <f t="shared" si="153"/>
        <v>0</v>
      </c>
      <c r="BV109" s="163">
        <f t="shared" si="154"/>
        <v>1</v>
      </c>
      <c r="BW109" s="163">
        <f t="shared" si="155"/>
        <v>0</v>
      </c>
      <c r="BX109" s="163">
        <f t="shared" si="156"/>
        <v>0</v>
      </c>
      <c r="BY109" s="163">
        <f t="shared" si="157"/>
        <v>0</v>
      </c>
      <c r="BZ109" s="163">
        <f t="shared" si="158"/>
        <v>0</v>
      </c>
      <c r="CA109" s="163">
        <f t="shared" si="159"/>
        <v>1</v>
      </c>
      <c r="CB109" s="163">
        <f t="shared" si="160"/>
        <v>0</v>
      </c>
      <c r="CC109" s="163">
        <f t="shared" si="120"/>
        <v>0</v>
      </c>
      <c r="CD109" s="163">
        <f t="shared" si="121"/>
        <v>0</v>
      </c>
      <c r="CE109" s="163">
        <f t="shared" si="122"/>
        <v>0</v>
      </c>
      <c r="CF109" s="163">
        <f t="shared" si="123"/>
        <v>2</v>
      </c>
      <c r="CG109" s="163">
        <f t="shared" si="124"/>
        <v>0</v>
      </c>
      <c r="CI109" s="167"/>
      <c r="CJ109" s="167"/>
      <c r="CK109" s="5"/>
      <c r="CL109" s="5" t="str">
        <f t="shared" si="125"/>
        <v/>
      </c>
      <c r="CM109" s="5" t="str">
        <f t="shared" si="126"/>
        <v/>
      </c>
      <c r="CN109" s="5"/>
      <c r="CO109" s="5" t="str">
        <f t="shared" si="128"/>
        <v/>
      </c>
      <c r="CP109" s="5" t="str">
        <f t="shared" si="141"/>
        <v/>
      </c>
      <c r="CQ109" s="5" t="str">
        <f t="shared" si="129"/>
        <v/>
      </c>
      <c r="CR109" s="5" t="str">
        <f t="shared" si="130"/>
        <v/>
      </c>
      <c r="CS109" s="5" t="str">
        <f t="shared" si="131"/>
        <v/>
      </c>
      <c r="CT109" s="50">
        <f t="shared" si="132"/>
        <v>0</v>
      </c>
      <c r="CU109" s="50">
        <f t="shared" si="133"/>
        <v>0</v>
      </c>
      <c r="CV109" s="50">
        <f t="shared" si="134"/>
        <v>0</v>
      </c>
      <c r="CW109" s="50">
        <f t="shared" si="135"/>
        <v>0</v>
      </c>
      <c r="CX109" s="190">
        <f t="shared" si="142"/>
        <v>0</v>
      </c>
      <c r="CZ109" s="1">
        <v>2.1</v>
      </c>
      <c r="DA109" s="167">
        <f t="shared" si="136"/>
        <v>1.7</v>
      </c>
      <c r="DB109" s="1">
        <f>Alcantarillas!AX114</f>
        <v>10.45</v>
      </c>
      <c r="DC109" s="5">
        <f t="shared" si="137"/>
        <v>37.306499999999993</v>
      </c>
      <c r="DE109" s="172">
        <f t="shared" si="138"/>
        <v>0</v>
      </c>
      <c r="DF109" s="172">
        <f t="shared" si="139"/>
        <v>0</v>
      </c>
    </row>
    <row r="110" spans="14:110" x14ac:dyDescent="0.25">
      <c r="N110">
        <v>105</v>
      </c>
      <c r="O110" s="24">
        <f>Alcantarillas!E115</f>
        <v>27141.200000000001</v>
      </c>
      <c r="P110" s="160">
        <f>IF(Alcantarillas!J115=1.2,1,0)</f>
        <v>1</v>
      </c>
      <c r="Q110" s="160">
        <f>IF(Alcantarillas!J115=1.3,1,0)</f>
        <v>0</v>
      </c>
      <c r="R110" s="160">
        <f>IF(Alcantarillas!J115=1.4,1,0)</f>
        <v>0</v>
      </c>
      <c r="S110" s="160">
        <f>IF(Alcantarillas!L115=1.2,1,0)</f>
        <v>0</v>
      </c>
      <c r="T110" s="160">
        <f>IF(Alcantarillas!L115=1.5,1,0)</f>
        <v>0</v>
      </c>
      <c r="V110" s="160">
        <f>IF(Alcantarillas!J115=1.2,Alcantarillas!AX115,0)</f>
        <v>10.85</v>
      </c>
      <c r="W110" s="160">
        <f>IF(Alcantarillas!J115=1.3,Alcantarillas!AX115,0)</f>
        <v>0</v>
      </c>
      <c r="X110" s="160">
        <f>IF(Alcantarillas!J115=1.4,Alcantarillas!AX115,0)</f>
        <v>0</v>
      </c>
      <c r="Y110" s="160">
        <f>IF(Alcantarillas!L115=1.2,Alcantarillas!AX115,0)</f>
        <v>0</v>
      </c>
      <c r="Z110" s="160">
        <f>IF(Alcantarillas!L115=1.5,Alcantarillas!AX115,0)</f>
        <v>0</v>
      </c>
      <c r="AB110" s="21"/>
      <c r="AC110" s="5">
        <f t="shared" si="102"/>
        <v>2.2000000000000002</v>
      </c>
      <c r="AD110" s="21"/>
      <c r="AE110" s="5">
        <f t="shared" si="103"/>
        <v>1.1309733552923256</v>
      </c>
      <c r="AF110" s="5">
        <f t="shared" si="104"/>
        <v>0</v>
      </c>
      <c r="AG110" s="21"/>
      <c r="AH110" s="5">
        <f t="shared" si="105"/>
        <v>0</v>
      </c>
      <c r="AI110" s="5">
        <f t="shared" si="106"/>
        <v>0</v>
      </c>
      <c r="AJ110" s="5">
        <f t="shared" si="107"/>
        <v>5.2</v>
      </c>
      <c r="AK110" s="5">
        <f t="shared" si="108"/>
        <v>5.5500000000000007</v>
      </c>
      <c r="AL110" s="5">
        <f t="shared" si="109"/>
        <v>0</v>
      </c>
      <c r="AM110" s="5">
        <f t="shared" si="110"/>
        <v>0</v>
      </c>
      <c r="AO110" s="21">
        <v>1.5</v>
      </c>
      <c r="AP110" s="5">
        <f t="shared" si="111"/>
        <v>2.2000000000000002</v>
      </c>
      <c r="AQ110" s="21">
        <v>0.2</v>
      </c>
      <c r="AR110" s="5">
        <f t="shared" si="112"/>
        <v>1.1309733552923256</v>
      </c>
      <c r="AS110" s="5">
        <f t="shared" si="113"/>
        <v>0.4338053289415349</v>
      </c>
      <c r="AT110" s="21">
        <v>2.12</v>
      </c>
      <c r="AU110" s="5">
        <f t="shared" si="114"/>
        <v>1.6818666666666668</v>
      </c>
      <c r="AV110" s="5">
        <f t="shared" si="115"/>
        <v>0.33637333333333341</v>
      </c>
      <c r="AW110" s="5">
        <f t="shared" si="116"/>
        <v>5.2</v>
      </c>
      <c r="AX110" s="5">
        <f t="shared" si="117"/>
        <v>5.5500000000000007</v>
      </c>
      <c r="AY110" s="5">
        <f t="shared" si="118"/>
        <v>1.1100000000000001</v>
      </c>
      <c r="AZ110" s="5">
        <f t="shared" si="119"/>
        <v>1.8801786622748684</v>
      </c>
      <c r="BB110" s="163">
        <v>6</v>
      </c>
      <c r="BC110" s="118">
        <f t="shared" si="144"/>
        <v>9</v>
      </c>
      <c r="BD110" s="118">
        <f t="shared" si="143"/>
        <v>64.8</v>
      </c>
      <c r="BE110" s="167">
        <v>9.1999999999999993</v>
      </c>
      <c r="BF110" s="118">
        <f t="shared" si="145"/>
        <v>66.239999999999995</v>
      </c>
      <c r="BG110" s="183"/>
      <c r="BH110" s="163"/>
      <c r="BI110" s="167"/>
      <c r="BJ110" s="167"/>
      <c r="BK110" s="167"/>
      <c r="BL110" s="167"/>
      <c r="BN110" s="5">
        <f t="shared" si="146"/>
        <v>1.8801786622748684</v>
      </c>
      <c r="BO110" s="5">
        <f t="shared" si="147"/>
        <v>0</v>
      </c>
      <c r="BP110" s="5">
        <f t="shared" si="148"/>
        <v>0</v>
      </c>
      <c r="BQ110" s="5">
        <f t="shared" si="149"/>
        <v>0</v>
      </c>
      <c r="BR110" s="5">
        <f t="shared" si="150"/>
        <v>0</v>
      </c>
      <c r="BS110" s="163">
        <f t="shared" si="151"/>
        <v>0</v>
      </c>
      <c r="BT110" s="163">
        <f t="shared" si="152"/>
        <v>0</v>
      </c>
      <c r="BU110" s="163">
        <f t="shared" si="153"/>
        <v>0</v>
      </c>
      <c r="BV110" s="163">
        <f t="shared" si="154"/>
        <v>0</v>
      </c>
      <c r="BW110" s="163">
        <f t="shared" si="155"/>
        <v>0</v>
      </c>
      <c r="BX110" s="163">
        <f t="shared" si="156"/>
        <v>1</v>
      </c>
      <c r="BY110" s="163">
        <f t="shared" si="157"/>
        <v>0</v>
      </c>
      <c r="BZ110" s="163">
        <f t="shared" si="158"/>
        <v>0</v>
      </c>
      <c r="CA110" s="163">
        <f t="shared" si="159"/>
        <v>0</v>
      </c>
      <c r="CB110" s="163">
        <f t="shared" si="160"/>
        <v>0</v>
      </c>
      <c r="CC110" s="163">
        <f t="shared" si="120"/>
        <v>1</v>
      </c>
      <c r="CD110" s="163">
        <f t="shared" si="121"/>
        <v>0</v>
      </c>
      <c r="CE110" s="163">
        <f t="shared" si="122"/>
        <v>0</v>
      </c>
      <c r="CF110" s="163">
        <f t="shared" si="123"/>
        <v>0</v>
      </c>
      <c r="CG110" s="163">
        <f t="shared" si="124"/>
        <v>0</v>
      </c>
      <c r="CI110" s="167">
        <v>4.2</v>
      </c>
      <c r="CJ110" s="167">
        <v>2.1</v>
      </c>
      <c r="CK110" s="5">
        <f t="shared" si="140"/>
        <v>6.9300000000000015</v>
      </c>
      <c r="CL110" s="5">
        <f t="shared" si="125"/>
        <v>1.7</v>
      </c>
      <c r="CM110" s="5" t="str">
        <f t="shared" si="126"/>
        <v/>
      </c>
      <c r="CN110" s="5" t="str">
        <f t="shared" si="127"/>
        <v/>
      </c>
      <c r="CO110" s="5" t="str">
        <f t="shared" si="128"/>
        <v/>
      </c>
      <c r="CP110" s="5">
        <f t="shared" si="141"/>
        <v>1.8614999999999997</v>
      </c>
      <c r="CQ110" s="5" t="str">
        <f t="shared" si="129"/>
        <v/>
      </c>
      <c r="CR110" s="5" t="str">
        <f t="shared" si="130"/>
        <v/>
      </c>
      <c r="CS110" s="5" t="str">
        <f t="shared" si="131"/>
        <v/>
      </c>
      <c r="CT110" s="50">
        <f t="shared" si="132"/>
        <v>1</v>
      </c>
      <c r="CU110" s="50">
        <f t="shared" si="133"/>
        <v>0</v>
      </c>
      <c r="CV110" s="50">
        <f t="shared" si="134"/>
        <v>0</v>
      </c>
      <c r="CW110" s="50">
        <f t="shared" si="135"/>
        <v>0</v>
      </c>
      <c r="CX110" s="190">
        <f t="shared" si="142"/>
        <v>1</v>
      </c>
      <c r="CZ110" s="1">
        <v>2.2000000000000002</v>
      </c>
      <c r="DA110" s="167">
        <f t="shared" si="136"/>
        <v>1.7</v>
      </c>
      <c r="DB110" s="1">
        <f>Alcantarillas!AX115</f>
        <v>10.85</v>
      </c>
      <c r="DC110" s="5">
        <f t="shared" si="137"/>
        <v>40.579000000000001</v>
      </c>
      <c r="DE110" s="172">
        <f t="shared" si="138"/>
        <v>234</v>
      </c>
      <c r="DF110" s="172">
        <f t="shared" si="139"/>
        <v>0</v>
      </c>
    </row>
    <row r="111" spans="14:110" x14ac:dyDescent="0.25">
      <c r="N111">
        <v>106</v>
      </c>
      <c r="O111" s="24">
        <f>Alcantarillas!E116</f>
        <v>27448.7</v>
      </c>
      <c r="P111" s="160">
        <f>IF(Alcantarillas!J116=1.2,1,0)</f>
        <v>1</v>
      </c>
      <c r="Q111" s="160">
        <f>IF(Alcantarillas!J116=1.3,1,0)</f>
        <v>0</v>
      </c>
      <c r="R111" s="160">
        <f>IF(Alcantarillas!J116=1.4,1,0)</f>
        <v>0</v>
      </c>
      <c r="S111" s="160">
        <f>IF(Alcantarillas!L116=1.2,1,0)</f>
        <v>0</v>
      </c>
      <c r="T111" s="160">
        <f>IF(Alcantarillas!L116=1.5,1,0)</f>
        <v>0</v>
      </c>
      <c r="V111" s="160">
        <f>IF(Alcantarillas!J116=1.2,Alcantarillas!AX116,0)</f>
        <v>15.8</v>
      </c>
      <c r="W111" s="160">
        <f>IF(Alcantarillas!J116=1.3,Alcantarillas!AX116,0)</f>
        <v>0</v>
      </c>
      <c r="X111" s="160">
        <f>IF(Alcantarillas!J116=1.4,Alcantarillas!AX116,0)</f>
        <v>0</v>
      </c>
      <c r="Y111" s="160">
        <f>IF(Alcantarillas!L116=1.2,Alcantarillas!AX116,0)</f>
        <v>0</v>
      </c>
      <c r="Z111" s="160">
        <f>IF(Alcantarillas!L116=1.5,Alcantarillas!AX116,0)</f>
        <v>0</v>
      </c>
      <c r="AB111" s="21">
        <v>2</v>
      </c>
      <c r="AC111" s="5">
        <f t="shared" si="102"/>
        <v>2.2000000000000002</v>
      </c>
      <c r="AD111" s="21">
        <v>0.2</v>
      </c>
      <c r="AE111" s="5">
        <f t="shared" si="103"/>
        <v>1.1309733552923256</v>
      </c>
      <c r="AF111" s="5">
        <f t="shared" si="104"/>
        <v>0.65380532894153509</v>
      </c>
      <c r="AG111" s="21">
        <v>2.12</v>
      </c>
      <c r="AH111" s="5">
        <f t="shared" si="105"/>
        <v>2.7418666666666667</v>
      </c>
      <c r="AI111" s="5">
        <f t="shared" si="106"/>
        <v>0.54837333333333338</v>
      </c>
      <c r="AJ111" s="5">
        <f t="shared" si="107"/>
        <v>5.2</v>
      </c>
      <c r="AK111" s="5">
        <f t="shared" si="108"/>
        <v>5.5500000000000007</v>
      </c>
      <c r="AL111" s="5">
        <f t="shared" si="109"/>
        <v>1.1100000000000001</v>
      </c>
      <c r="AM111" s="5">
        <f t="shared" si="110"/>
        <v>2.3121786622748686</v>
      </c>
      <c r="AO111" s="21">
        <v>1.5</v>
      </c>
      <c r="AP111" s="5">
        <f t="shared" si="111"/>
        <v>2.2000000000000002</v>
      </c>
      <c r="AQ111" s="21">
        <v>0.2</v>
      </c>
      <c r="AR111" s="5">
        <f t="shared" si="112"/>
        <v>1.1309733552923256</v>
      </c>
      <c r="AS111" s="5">
        <f t="shared" si="113"/>
        <v>0.4338053289415349</v>
      </c>
      <c r="AT111" s="21">
        <v>2.12</v>
      </c>
      <c r="AU111" s="5">
        <f t="shared" si="114"/>
        <v>1.6818666666666668</v>
      </c>
      <c r="AV111" s="5">
        <f t="shared" si="115"/>
        <v>0.33637333333333341</v>
      </c>
      <c r="AW111" s="5">
        <f t="shared" si="116"/>
        <v>5.2</v>
      </c>
      <c r="AX111" s="5">
        <f t="shared" si="117"/>
        <v>5.5500000000000007</v>
      </c>
      <c r="AY111" s="5">
        <f t="shared" si="118"/>
        <v>1.1100000000000001</v>
      </c>
      <c r="AZ111" s="5">
        <f t="shared" si="119"/>
        <v>1.8801786622748684</v>
      </c>
      <c r="BB111" s="163"/>
      <c r="BC111" s="118"/>
      <c r="BD111" s="118"/>
      <c r="BE111" s="118"/>
      <c r="BF111" s="118"/>
      <c r="BG111" s="183"/>
      <c r="BH111" s="163">
        <v>4</v>
      </c>
      <c r="BI111" s="167">
        <f>0.2*1.5*BH111</f>
        <v>1.2000000000000002</v>
      </c>
      <c r="BJ111" s="167">
        <f>BI111*(AW111+(2*$BI$1))</f>
        <v>8.6400000000000023</v>
      </c>
      <c r="BK111" s="167">
        <v>3.5</v>
      </c>
      <c r="BL111" s="167">
        <f>BK111*(AW111+(2*$BI$1))</f>
        <v>25.2</v>
      </c>
      <c r="BN111" s="5">
        <f t="shared" si="146"/>
        <v>4.1923573245497368</v>
      </c>
      <c r="BO111" s="5">
        <f t="shared" si="147"/>
        <v>0</v>
      </c>
      <c r="BP111" s="5">
        <f t="shared" si="148"/>
        <v>0</v>
      </c>
      <c r="BQ111" s="5">
        <f t="shared" si="149"/>
        <v>0</v>
      </c>
      <c r="BR111" s="5">
        <f t="shared" si="150"/>
        <v>0</v>
      </c>
      <c r="BS111" s="163">
        <f t="shared" si="151"/>
        <v>1</v>
      </c>
      <c r="BT111" s="163">
        <f t="shared" si="152"/>
        <v>0</v>
      </c>
      <c r="BU111" s="163">
        <f t="shared" si="153"/>
        <v>0</v>
      </c>
      <c r="BV111" s="163">
        <f t="shared" si="154"/>
        <v>0</v>
      </c>
      <c r="BW111" s="163">
        <f t="shared" si="155"/>
        <v>0</v>
      </c>
      <c r="BX111" s="163">
        <f t="shared" si="156"/>
        <v>1</v>
      </c>
      <c r="BY111" s="163">
        <f t="shared" si="157"/>
        <v>0</v>
      </c>
      <c r="BZ111" s="163">
        <f t="shared" si="158"/>
        <v>0</v>
      </c>
      <c r="CA111" s="163">
        <f t="shared" si="159"/>
        <v>0</v>
      </c>
      <c r="CB111" s="163">
        <f t="shared" si="160"/>
        <v>0</v>
      </c>
      <c r="CC111" s="163">
        <f t="shared" si="120"/>
        <v>2</v>
      </c>
      <c r="CD111" s="163">
        <f t="shared" si="121"/>
        <v>0</v>
      </c>
      <c r="CE111" s="163">
        <f t="shared" si="122"/>
        <v>0</v>
      </c>
      <c r="CF111" s="163">
        <f t="shared" si="123"/>
        <v>0</v>
      </c>
      <c r="CG111" s="163">
        <f t="shared" si="124"/>
        <v>0</v>
      </c>
      <c r="CI111" s="167"/>
      <c r="CJ111" s="167"/>
      <c r="CK111" s="5"/>
      <c r="CL111" s="5"/>
      <c r="CM111" s="5" t="str">
        <f t="shared" si="126"/>
        <v/>
      </c>
      <c r="CN111" s="5" t="str">
        <f t="shared" si="127"/>
        <v/>
      </c>
      <c r="CO111" s="5" t="str">
        <f t="shared" si="128"/>
        <v/>
      </c>
      <c r="CP111" s="5" t="str">
        <f t="shared" si="141"/>
        <v/>
      </c>
      <c r="CQ111" s="5" t="str">
        <f t="shared" si="129"/>
        <v/>
      </c>
      <c r="CR111" s="5" t="str">
        <f t="shared" si="130"/>
        <v/>
      </c>
      <c r="CS111" s="5" t="str">
        <f t="shared" si="131"/>
        <v/>
      </c>
      <c r="CT111" s="50">
        <f t="shared" si="132"/>
        <v>0</v>
      </c>
      <c r="CU111" s="50">
        <f t="shared" si="133"/>
        <v>0</v>
      </c>
      <c r="CV111" s="50">
        <f t="shared" si="134"/>
        <v>0</v>
      </c>
      <c r="CW111" s="50">
        <f t="shared" si="135"/>
        <v>0</v>
      </c>
      <c r="CX111" s="190">
        <f t="shared" si="142"/>
        <v>0</v>
      </c>
      <c r="CZ111" s="1">
        <v>2.1</v>
      </c>
      <c r="DA111" s="167">
        <f t="shared" si="136"/>
        <v>1.7</v>
      </c>
      <c r="DB111" s="1">
        <f>Alcantarillas!AX116</f>
        <v>15.8</v>
      </c>
      <c r="DC111" s="5">
        <f t="shared" si="137"/>
        <v>56.405999999999999</v>
      </c>
      <c r="DE111" s="172">
        <f t="shared" si="138"/>
        <v>0</v>
      </c>
      <c r="DF111" s="172">
        <f t="shared" si="139"/>
        <v>100.32000000000001</v>
      </c>
    </row>
    <row r="112" spans="14:110" x14ac:dyDescent="0.25">
      <c r="N112">
        <v>107</v>
      </c>
      <c r="O112" s="24">
        <f>Alcantarillas!E117</f>
        <v>27505.5</v>
      </c>
      <c r="P112" s="160">
        <f>IF(Alcantarillas!J117=1.2,1,0)</f>
        <v>1</v>
      </c>
      <c r="Q112" s="160">
        <f>IF(Alcantarillas!J117=1.3,1,0)</f>
        <v>0</v>
      </c>
      <c r="R112" s="160">
        <f>IF(Alcantarillas!J117=1.4,1,0)</f>
        <v>0</v>
      </c>
      <c r="S112" s="160">
        <f>IF(Alcantarillas!L117=1.2,1,0)</f>
        <v>0</v>
      </c>
      <c r="T112" s="160">
        <f>IF(Alcantarillas!L117=1.5,1,0)</f>
        <v>0</v>
      </c>
      <c r="V112" s="160">
        <f>IF(Alcantarillas!J117=1.2,Alcantarillas!AX117,0)</f>
        <v>12.65</v>
      </c>
      <c r="W112" s="160">
        <f>IF(Alcantarillas!J117=1.3,Alcantarillas!AX117,0)</f>
        <v>0</v>
      </c>
      <c r="X112" s="160">
        <f>IF(Alcantarillas!J117=1.4,Alcantarillas!AX117,0)</f>
        <v>0</v>
      </c>
      <c r="Y112" s="160">
        <f>IF(Alcantarillas!L117=1.2,Alcantarillas!AX117,0)</f>
        <v>0</v>
      </c>
      <c r="Z112" s="160">
        <f>IF(Alcantarillas!L117=1.5,Alcantarillas!AX117,0)</f>
        <v>0</v>
      </c>
      <c r="AB112" s="21"/>
      <c r="AC112" s="5">
        <f t="shared" si="102"/>
        <v>2.2000000000000002</v>
      </c>
      <c r="AD112" s="21"/>
      <c r="AE112" s="5">
        <f t="shared" si="103"/>
        <v>1.1309733552923256</v>
      </c>
      <c r="AF112" s="5">
        <f t="shared" si="104"/>
        <v>0</v>
      </c>
      <c r="AG112" s="21"/>
      <c r="AH112" s="5">
        <f t="shared" si="105"/>
        <v>0</v>
      </c>
      <c r="AI112" s="5">
        <f t="shared" si="106"/>
        <v>0</v>
      </c>
      <c r="AJ112" s="5">
        <f t="shared" si="107"/>
        <v>5.2</v>
      </c>
      <c r="AK112" s="5">
        <f t="shared" si="108"/>
        <v>5.5500000000000007</v>
      </c>
      <c r="AL112" s="5">
        <f t="shared" si="109"/>
        <v>0</v>
      </c>
      <c r="AM112" s="5">
        <f t="shared" si="110"/>
        <v>0</v>
      </c>
      <c r="AO112" s="21">
        <v>1.5</v>
      </c>
      <c r="AP112" s="5">
        <f t="shared" si="111"/>
        <v>2.2000000000000002</v>
      </c>
      <c r="AQ112" s="21">
        <v>0.2</v>
      </c>
      <c r="AR112" s="5">
        <f t="shared" si="112"/>
        <v>1.1309733552923256</v>
      </c>
      <c r="AS112" s="5">
        <f t="shared" si="113"/>
        <v>0.4338053289415349</v>
      </c>
      <c r="AT112" s="21">
        <v>2.12</v>
      </c>
      <c r="AU112" s="5">
        <f t="shared" si="114"/>
        <v>1.6818666666666668</v>
      </c>
      <c r="AV112" s="5">
        <f t="shared" si="115"/>
        <v>0.33637333333333341</v>
      </c>
      <c r="AW112" s="5">
        <f t="shared" si="116"/>
        <v>5.2</v>
      </c>
      <c r="AX112" s="5">
        <f t="shared" si="117"/>
        <v>5.5500000000000007</v>
      </c>
      <c r="AY112" s="5">
        <f t="shared" si="118"/>
        <v>1.1100000000000001</v>
      </c>
      <c r="AZ112" s="5">
        <f t="shared" si="119"/>
        <v>1.8801786622748684</v>
      </c>
      <c r="BB112" s="163"/>
      <c r="BC112" s="118"/>
      <c r="BD112" s="118"/>
      <c r="BE112" s="118"/>
      <c r="BF112" s="118"/>
      <c r="BG112" s="183"/>
      <c r="BH112" s="163">
        <v>4</v>
      </c>
      <c r="BI112" s="167">
        <f>0.2*1.5*BH112</f>
        <v>1.2000000000000002</v>
      </c>
      <c r="BJ112" s="167">
        <f>BI112*(AW112+(2*$BI$1))</f>
        <v>8.6400000000000023</v>
      </c>
      <c r="BK112" s="167">
        <v>3.5</v>
      </c>
      <c r="BL112" s="167">
        <f>BK112*(AW112+(2*$BI$1))</f>
        <v>25.2</v>
      </c>
      <c r="BN112" s="5">
        <f t="shared" si="146"/>
        <v>1.8801786622748684</v>
      </c>
      <c r="BO112" s="5">
        <f t="shared" si="147"/>
        <v>0</v>
      </c>
      <c r="BP112" s="5">
        <f t="shared" si="148"/>
        <v>0</v>
      </c>
      <c r="BQ112" s="5">
        <f t="shared" si="149"/>
        <v>0</v>
      </c>
      <c r="BR112" s="5">
        <f t="shared" si="150"/>
        <v>0</v>
      </c>
      <c r="BS112" s="163">
        <f t="shared" si="151"/>
        <v>0</v>
      </c>
      <c r="BT112" s="163">
        <f t="shared" si="152"/>
        <v>0</v>
      </c>
      <c r="BU112" s="163">
        <f t="shared" si="153"/>
        <v>0</v>
      </c>
      <c r="BV112" s="163">
        <f t="shared" si="154"/>
        <v>0</v>
      </c>
      <c r="BW112" s="163">
        <f t="shared" si="155"/>
        <v>0</v>
      </c>
      <c r="BX112" s="163">
        <f t="shared" si="156"/>
        <v>1</v>
      </c>
      <c r="BY112" s="163">
        <f t="shared" si="157"/>
        <v>0</v>
      </c>
      <c r="BZ112" s="163">
        <f t="shared" si="158"/>
        <v>0</v>
      </c>
      <c r="CA112" s="163">
        <f t="shared" si="159"/>
        <v>0</v>
      </c>
      <c r="CB112" s="163">
        <f t="shared" si="160"/>
        <v>0</v>
      </c>
      <c r="CC112" s="163">
        <f t="shared" si="120"/>
        <v>1</v>
      </c>
      <c r="CD112" s="163">
        <f t="shared" si="121"/>
        <v>0</v>
      </c>
      <c r="CE112" s="163">
        <f t="shared" si="122"/>
        <v>0</v>
      </c>
      <c r="CF112" s="163">
        <f t="shared" si="123"/>
        <v>0</v>
      </c>
      <c r="CG112" s="163">
        <f t="shared" si="124"/>
        <v>0</v>
      </c>
      <c r="CI112" s="167">
        <v>3.9</v>
      </c>
      <c r="CJ112" s="167">
        <v>2.1</v>
      </c>
      <c r="CK112" s="5">
        <f t="shared" si="140"/>
        <v>6.6000000000000005</v>
      </c>
      <c r="CL112" s="5">
        <f t="shared" si="125"/>
        <v>1.7</v>
      </c>
      <c r="CM112" s="5" t="str">
        <f t="shared" si="126"/>
        <v/>
      </c>
      <c r="CN112" s="5" t="str">
        <f t="shared" si="127"/>
        <v/>
      </c>
      <c r="CO112" s="5" t="str">
        <f t="shared" si="128"/>
        <v/>
      </c>
      <c r="CP112" s="5">
        <f t="shared" si="141"/>
        <v>1.7849999999999997</v>
      </c>
      <c r="CQ112" s="5" t="str">
        <f t="shared" si="129"/>
        <v/>
      </c>
      <c r="CR112" s="5" t="str">
        <f t="shared" si="130"/>
        <v/>
      </c>
      <c r="CS112" s="5" t="str">
        <f t="shared" si="131"/>
        <v/>
      </c>
      <c r="CT112" s="50">
        <f t="shared" si="132"/>
        <v>1</v>
      </c>
      <c r="CU112" s="50">
        <f t="shared" si="133"/>
        <v>0</v>
      </c>
      <c r="CV112" s="50">
        <f t="shared" si="134"/>
        <v>0</v>
      </c>
      <c r="CW112" s="50">
        <f t="shared" si="135"/>
        <v>0</v>
      </c>
      <c r="CX112" s="190">
        <f t="shared" si="142"/>
        <v>1</v>
      </c>
      <c r="CZ112" s="1">
        <v>2</v>
      </c>
      <c r="DA112" s="167">
        <f t="shared" si="136"/>
        <v>1.7</v>
      </c>
      <c r="DB112" s="1">
        <f>Alcantarillas!AX117</f>
        <v>12.65</v>
      </c>
      <c r="DC112" s="5">
        <f t="shared" si="137"/>
        <v>43.01</v>
      </c>
      <c r="DE112" s="172">
        <f t="shared" si="138"/>
        <v>0</v>
      </c>
      <c r="DF112" s="172">
        <f t="shared" si="139"/>
        <v>100.32000000000001</v>
      </c>
    </row>
    <row r="113" spans="14:110" x14ac:dyDescent="0.25">
      <c r="N113">
        <v>108</v>
      </c>
      <c r="O113" s="24">
        <f>Alcantarillas!E118</f>
        <v>27640</v>
      </c>
      <c r="P113" s="160">
        <f>IF(Alcantarillas!J118=1.2,1,0)</f>
        <v>1</v>
      </c>
      <c r="Q113" s="160">
        <f>IF(Alcantarillas!J118=1.3,1,0)</f>
        <v>0</v>
      </c>
      <c r="R113" s="160">
        <f>IF(Alcantarillas!J118=1.4,1,0)</f>
        <v>0</v>
      </c>
      <c r="S113" s="160">
        <f>IF(Alcantarillas!L118=1.2,1,0)</f>
        <v>0</v>
      </c>
      <c r="T113" s="160">
        <f>IF(Alcantarillas!L118=1.5,1,0)</f>
        <v>0</v>
      </c>
      <c r="V113" s="160">
        <f>IF(Alcantarillas!J118=1.2,Alcantarillas!AX118,0)</f>
        <v>11.4</v>
      </c>
      <c r="W113" s="160">
        <f>IF(Alcantarillas!J118=1.3,Alcantarillas!AX118,0)</f>
        <v>0</v>
      </c>
      <c r="X113" s="160">
        <f>IF(Alcantarillas!J118=1.4,Alcantarillas!AX118,0)</f>
        <v>0</v>
      </c>
      <c r="Y113" s="160">
        <f>IF(Alcantarillas!L118=1.2,Alcantarillas!AX118,0)</f>
        <v>0</v>
      </c>
      <c r="Z113" s="160">
        <f>IF(Alcantarillas!L118=1.5,Alcantarillas!AX118,0)</f>
        <v>0</v>
      </c>
      <c r="AB113" s="21"/>
      <c r="AC113" s="5">
        <f t="shared" si="102"/>
        <v>2.2000000000000002</v>
      </c>
      <c r="AD113" s="21"/>
      <c r="AE113" s="5">
        <f t="shared" si="103"/>
        <v>1.1309733552923256</v>
      </c>
      <c r="AF113" s="5">
        <f t="shared" si="104"/>
        <v>0</v>
      </c>
      <c r="AG113" s="21"/>
      <c r="AH113" s="5">
        <f t="shared" si="105"/>
        <v>0</v>
      </c>
      <c r="AI113" s="5">
        <f t="shared" si="106"/>
        <v>0</v>
      </c>
      <c r="AJ113" s="5">
        <f t="shared" si="107"/>
        <v>5.2</v>
      </c>
      <c r="AK113" s="5">
        <f t="shared" si="108"/>
        <v>5.5500000000000007</v>
      </c>
      <c r="AL113" s="5">
        <f t="shared" si="109"/>
        <v>0</v>
      </c>
      <c r="AM113" s="5">
        <f t="shared" si="110"/>
        <v>0</v>
      </c>
      <c r="AO113" s="21">
        <v>1.5</v>
      </c>
      <c r="AP113" s="5">
        <f t="shared" si="111"/>
        <v>2.2000000000000002</v>
      </c>
      <c r="AQ113" s="21">
        <v>0.2</v>
      </c>
      <c r="AR113" s="5">
        <f t="shared" si="112"/>
        <v>1.1309733552923256</v>
      </c>
      <c r="AS113" s="5">
        <f t="shared" si="113"/>
        <v>0.4338053289415349</v>
      </c>
      <c r="AT113" s="21">
        <v>2.12</v>
      </c>
      <c r="AU113" s="5">
        <f t="shared" si="114"/>
        <v>1.6818666666666668</v>
      </c>
      <c r="AV113" s="5">
        <f t="shared" si="115"/>
        <v>0.33637333333333341</v>
      </c>
      <c r="AW113" s="5">
        <f t="shared" si="116"/>
        <v>5.2</v>
      </c>
      <c r="AX113" s="5">
        <f t="shared" si="117"/>
        <v>5.5500000000000007</v>
      </c>
      <c r="AY113" s="5">
        <f t="shared" si="118"/>
        <v>1.1100000000000001</v>
      </c>
      <c r="AZ113" s="5">
        <f t="shared" si="119"/>
        <v>1.8801786622748684</v>
      </c>
      <c r="BB113" s="163"/>
      <c r="BC113" s="118"/>
      <c r="BD113" s="118"/>
      <c r="BE113" s="118"/>
      <c r="BF113" s="118"/>
      <c r="BG113" s="183"/>
      <c r="BH113" s="163"/>
      <c r="BI113" s="167"/>
      <c r="BJ113" s="167"/>
      <c r="BK113" s="167"/>
      <c r="BL113" s="167"/>
      <c r="BN113" s="5">
        <f t="shared" si="146"/>
        <v>1.8801786622748684</v>
      </c>
      <c r="BO113" s="5">
        <f t="shared" si="147"/>
        <v>0</v>
      </c>
      <c r="BP113" s="5">
        <f t="shared" si="148"/>
        <v>0</v>
      </c>
      <c r="BQ113" s="5">
        <f t="shared" si="149"/>
        <v>0</v>
      </c>
      <c r="BR113" s="5">
        <f t="shared" si="150"/>
        <v>0</v>
      </c>
      <c r="BS113" s="163">
        <f t="shared" si="151"/>
        <v>0</v>
      </c>
      <c r="BT113" s="163">
        <f t="shared" si="152"/>
        <v>0</v>
      </c>
      <c r="BU113" s="163">
        <f t="shared" si="153"/>
        <v>0</v>
      </c>
      <c r="BV113" s="163">
        <f t="shared" si="154"/>
        <v>0</v>
      </c>
      <c r="BW113" s="163">
        <f t="shared" si="155"/>
        <v>0</v>
      </c>
      <c r="BX113" s="163">
        <f t="shared" si="156"/>
        <v>1</v>
      </c>
      <c r="BY113" s="163">
        <f t="shared" si="157"/>
        <v>0</v>
      </c>
      <c r="BZ113" s="163">
        <f t="shared" si="158"/>
        <v>0</v>
      </c>
      <c r="CA113" s="163">
        <f t="shared" si="159"/>
        <v>0</v>
      </c>
      <c r="CB113" s="163">
        <f t="shared" si="160"/>
        <v>0</v>
      </c>
      <c r="CC113" s="163">
        <f t="shared" si="120"/>
        <v>1</v>
      </c>
      <c r="CD113" s="163">
        <f t="shared" si="121"/>
        <v>0</v>
      </c>
      <c r="CE113" s="163">
        <f t="shared" si="122"/>
        <v>0</v>
      </c>
      <c r="CF113" s="163">
        <f t="shared" si="123"/>
        <v>0</v>
      </c>
      <c r="CG113" s="163">
        <f t="shared" si="124"/>
        <v>0</v>
      </c>
      <c r="CI113" s="167">
        <v>3.6</v>
      </c>
      <c r="CJ113" s="167">
        <v>1.9</v>
      </c>
      <c r="CK113" s="5">
        <f t="shared" si="140"/>
        <v>6.0500000000000007</v>
      </c>
      <c r="CL113" s="5">
        <f t="shared" si="125"/>
        <v>1.7</v>
      </c>
      <c r="CM113" s="5" t="str">
        <f t="shared" si="126"/>
        <v/>
      </c>
      <c r="CN113" s="5" t="str">
        <f t="shared" si="127"/>
        <v/>
      </c>
      <c r="CO113" s="5" t="str">
        <f t="shared" si="128"/>
        <v/>
      </c>
      <c r="CP113" s="5">
        <f t="shared" si="141"/>
        <v>1.6574999999999998</v>
      </c>
      <c r="CQ113" s="5" t="str">
        <f t="shared" si="129"/>
        <v/>
      </c>
      <c r="CR113" s="5" t="str">
        <f t="shared" si="130"/>
        <v/>
      </c>
      <c r="CS113" s="5" t="str">
        <f t="shared" si="131"/>
        <v/>
      </c>
      <c r="CT113" s="50">
        <f t="shared" si="132"/>
        <v>1</v>
      </c>
      <c r="CU113" s="50">
        <f t="shared" si="133"/>
        <v>0</v>
      </c>
      <c r="CV113" s="50">
        <f t="shared" si="134"/>
        <v>0</v>
      </c>
      <c r="CW113" s="50">
        <f t="shared" si="135"/>
        <v>0</v>
      </c>
      <c r="CX113" s="190">
        <f t="shared" si="142"/>
        <v>1</v>
      </c>
      <c r="CZ113" s="1">
        <v>2.0499999999999998</v>
      </c>
      <c r="DA113" s="167">
        <f t="shared" si="136"/>
        <v>1.7</v>
      </c>
      <c r="DB113" s="1">
        <f>Alcantarillas!AX118</f>
        <v>11.4</v>
      </c>
      <c r="DC113" s="5">
        <f t="shared" si="137"/>
        <v>39.728999999999992</v>
      </c>
      <c r="DE113" s="172">
        <f t="shared" si="138"/>
        <v>0</v>
      </c>
      <c r="DF113" s="172">
        <f t="shared" si="139"/>
        <v>0</v>
      </c>
    </row>
    <row r="114" spans="14:110" x14ac:dyDescent="0.25">
      <c r="N114">
        <v>109</v>
      </c>
      <c r="O114" s="24">
        <f>Alcantarillas!E119</f>
        <v>27878</v>
      </c>
      <c r="P114" s="160">
        <f>IF(Alcantarillas!J119=1.2,1,0)</f>
        <v>1</v>
      </c>
      <c r="Q114" s="160">
        <f>IF(Alcantarillas!J119=1.3,1,0)</f>
        <v>0</v>
      </c>
      <c r="R114" s="160">
        <f>IF(Alcantarillas!J119=1.4,1,0)</f>
        <v>0</v>
      </c>
      <c r="S114" s="160">
        <f>IF(Alcantarillas!L119=1.2,1,0)</f>
        <v>0</v>
      </c>
      <c r="T114" s="160">
        <f>IF(Alcantarillas!L119=1.5,1,0)</f>
        <v>0</v>
      </c>
      <c r="V114" s="160">
        <f>IF(Alcantarillas!J119=1.2,Alcantarillas!AX119,0)</f>
        <v>12.55</v>
      </c>
      <c r="W114" s="160">
        <f>IF(Alcantarillas!J119=1.3,Alcantarillas!AX119,0)</f>
        <v>0</v>
      </c>
      <c r="X114" s="160">
        <f>IF(Alcantarillas!J119=1.4,Alcantarillas!AX119,0)</f>
        <v>0</v>
      </c>
      <c r="Y114" s="160">
        <f>IF(Alcantarillas!L119=1.2,Alcantarillas!AX119,0)</f>
        <v>0</v>
      </c>
      <c r="Z114" s="160">
        <f>IF(Alcantarillas!L119=1.5,Alcantarillas!AX119,0)</f>
        <v>0</v>
      </c>
      <c r="AB114" s="21"/>
      <c r="AC114" s="5">
        <f t="shared" si="102"/>
        <v>2.2000000000000002</v>
      </c>
      <c r="AD114" s="21"/>
      <c r="AE114" s="5">
        <f t="shared" si="103"/>
        <v>1.1309733552923256</v>
      </c>
      <c r="AF114" s="5">
        <f t="shared" si="104"/>
        <v>0</v>
      </c>
      <c r="AG114" s="21"/>
      <c r="AH114" s="5">
        <f t="shared" si="105"/>
        <v>0</v>
      </c>
      <c r="AI114" s="5">
        <f t="shared" si="106"/>
        <v>0</v>
      </c>
      <c r="AJ114" s="5">
        <f t="shared" si="107"/>
        <v>5.2</v>
      </c>
      <c r="AK114" s="5">
        <f t="shared" si="108"/>
        <v>5.5500000000000007</v>
      </c>
      <c r="AL114" s="5">
        <f t="shared" si="109"/>
        <v>0</v>
      </c>
      <c r="AM114" s="5">
        <f t="shared" si="110"/>
        <v>0</v>
      </c>
      <c r="AO114" s="21">
        <v>1.5</v>
      </c>
      <c r="AP114" s="5">
        <f t="shared" si="111"/>
        <v>2.2000000000000002</v>
      </c>
      <c r="AQ114" s="21">
        <v>0.2</v>
      </c>
      <c r="AR114" s="5">
        <f t="shared" si="112"/>
        <v>1.1309733552923256</v>
      </c>
      <c r="AS114" s="5">
        <f t="shared" si="113"/>
        <v>0.4338053289415349</v>
      </c>
      <c r="AT114" s="21">
        <v>2.12</v>
      </c>
      <c r="AU114" s="5">
        <f t="shared" si="114"/>
        <v>1.6818666666666668</v>
      </c>
      <c r="AV114" s="5">
        <f t="shared" si="115"/>
        <v>0.33637333333333341</v>
      </c>
      <c r="AW114" s="5">
        <f t="shared" si="116"/>
        <v>5.2</v>
      </c>
      <c r="AX114" s="5">
        <f t="shared" si="117"/>
        <v>5.5500000000000007</v>
      </c>
      <c r="AY114" s="5">
        <f t="shared" si="118"/>
        <v>1.1100000000000001</v>
      </c>
      <c r="AZ114" s="5">
        <f t="shared" si="119"/>
        <v>1.8801786622748684</v>
      </c>
      <c r="BB114" s="163"/>
      <c r="BC114" s="118"/>
      <c r="BD114" s="118"/>
      <c r="BE114" s="118"/>
      <c r="BF114" s="118"/>
      <c r="BG114" s="183"/>
      <c r="BH114" s="163"/>
      <c r="BI114" s="167"/>
      <c r="BJ114" s="167"/>
      <c r="BK114" s="167"/>
      <c r="BL114" s="167"/>
      <c r="BN114" s="5">
        <f t="shared" si="146"/>
        <v>1.8801786622748684</v>
      </c>
      <c r="BO114" s="5">
        <f t="shared" si="147"/>
        <v>0</v>
      </c>
      <c r="BP114" s="5">
        <f t="shared" si="148"/>
        <v>0</v>
      </c>
      <c r="BQ114" s="5">
        <f t="shared" si="149"/>
        <v>0</v>
      </c>
      <c r="BR114" s="5">
        <f t="shared" si="150"/>
        <v>0</v>
      </c>
      <c r="BS114" s="163">
        <f t="shared" si="151"/>
        <v>0</v>
      </c>
      <c r="BT114" s="163">
        <f t="shared" si="152"/>
        <v>0</v>
      </c>
      <c r="BU114" s="163">
        <f t="shared" si="153"/>
        <v>0</v>
      </c>
      <c r="BV114" s="163">
        <f t="shared" si="154"/>
        <v>0</v>
      </c>
      <c r="BW114" s="163">
        <f t="shared" si="155"/>
        <v>0</v>
      </c>
      <c r="BX114" s="163">
        <f t="shared" si="156"/>
        <v>1</v>
      </c>
      <c r="BY114" s="163">
        <f t="shared" si="157"/>
        <v>0</v>
      </c>
      <c r="BZ114" s="163">
        <f t="shared" si="158"/>
        <v>0</v>
      </c>
      <c r="CA114" s="163">
        <f t="shared" si="159"/>
        <v>0</v>
      </c>
      <c r="CB114" s="163">
        <f t="shared" si="160"/>
        <v>0</v>
      </c>
      <c r="CC114" s="163">
        <f t="shared" si="120"/>
        <v>1</v>
      </c>
      <c r="CD114" s="163">
        <f t="shared" si="121"/>
        <v>0</v>
      </c>
      <c r="CE114" s="163">
        <f t="shared" si="122"/>
        <v>0</v>
      </c>
      <c r="CF114" s="163">
        <f t="shared" si="123"/>
        <v>0</v>
      </c>
      <c r="CG114" s="163">
        <f t="shared" si="124"/>
        <v>0</v>
      </c>
      <c r="CI114" s="167">
        <v>3.2</v>
      </c>
      <c r="CJ114" s="167">
        <v>1.9</v>
      </c>
      <c r="CK114" s="5">
        <f t="shared" si="140"/>
        <v>5.61</v>
      </c>
      <c r="CL114" s="5">
        <f t="shared" si="125"/>
        <v>1.7</v>
      </c>
      <c r="CM114" s="5" t="str">
        <f t="shared" si="126"/>
        <v/>
      </c>
      <c r="CN114" s="5" t="str">
        <f t="shared" si="127"/>
        <v/>
      </c>
      <c r="CO114" s="5" t="str">
        <f t="shared" si="128"/>
        <v/>
      </c>
      <c r="CP114" s="5">
        <f t="shared" si="141"/>
        <v>1.5554999999999999</v>
      </c>
      <c r="CQ114" s="5" t="str">
        <f t="shared" si="129"/>
        <v/>
      </c>
      <c r="CR114" s="5" t="str">
        <f t="shared" si="130"/>
        <v/>
      </c>
      <c r="CS114" s="5" t="str">
        <f t="shared" si="131"/>
        <v/>
      </c>
      <c r="CT114" s="50">
        <f t="shared" si="132"/>
        <v>1</v>
      </c>
      <c r="CU114" s="50">
        <f t="shared" si="133"/>
        <v>0</v>
      </c>
      <c r="CV114" s="50">
        <f t="shared" si="134"/>
        <v>0</v>
      </c>
      <c r="CW114" s="50">
        <f t="shared" si="135"/>
        <v>0</v>
      </c>
      <c r="CX114" s="190">
        <f t="shared" si="142"/>
        <v>1</v>
      </c>
      <c r="CZ114" s="1">
        <v>2.2000000000000002</v>
      </c>
      <c r="DA114" s="167">
        <f t="shared" si="136"/>
        <v>1.7</v>
      </c>
      <c r="DB114" s="1">
        <f>Alcantarillas!AX119</f>
        <v>12.55</v>
      </c>
      <c r="DC114" s="5">
        <f t="shared" si="137"/>
        <v>46.937000000000005</v>
      </c>
      <c r="DE114" s="172">
        <f t="shared" si="138"/>
        <v>0</v>
      </c>
      <c r="DF114" s="172">
        <f t="shared" si="139"/>
        <v>0</v>
      </c>
    </row>
    <row r="115" spans="14:110" x14ac:dyDescent="0.25">
      <c r="N115">
        <v>110</v>
      </c>
      <c r="O115" s="24">
        <f>Alcantarillas!E120</f>
        <v>28026.5</v>
      </c>
      <c r="P115" s="160">
        <f>IF(Alcantarillas!J120=1.2,1,0)</f>
        <v>1</v>
      </c>
      <c r="Q115" s="160">
        <f>IF(Alcantarillas!J120=1.3,1,0)</f>
        <v>0</v>
      </c>
      <c r="R115" s="160">
        <f>IF(Alcantarillas!J120=1.4,1,0)</f>
        <v>0</v>
      </c>
      <c r="S115" s="160">
        <f>IF(Alcantarillas!L120=1.2,1,0)</f>
        <v>0</v>
      </c>
      <c r="T115" s="160">
        <f>IF(Alcantarillas!L120=1.5,1,0)</f>
        <v>0</v>
      </c>
      <c r="V115" s="160">
        <f>IF(Alcantarillas!J120=1.2,Alcantarillas!AX120,0)</f>
        <v>13.4</v>
      </c>
      <c r="W115" s="160">
        <f>IF(Alcantarillas!J120=1.3,Alcantarillas!AX120,0)</f>
        <v>0</v>
      </c>
      <c r="X115" s="160">
        <f>IF(Alcantarillas!J120=1.4,Alcantarillas!AX120,0)</f>
        <v>0</v>
      </c>
      <c r="Y115" s="160">
        <f>IF(Alcantarillas!L120=1.2,Alcantarillas!AX120,0)</f>
        <v>0</v>
      </c>
      <c r="Z115" s="160">
        <f>IF(Alcantarillas!L120=1.5,Alcantarillas!AX120,0)</f>
        <v>0</v>
      </c>
      <c r="AB115" s="21">
        <v>1.9</v>
      </c>
      <c r="AC115" s="5">
        <f t="shared" si="102"/>
        <v>2.2000000000000002</v>
      </c>
      <c r="AD115" s="21">
        <v>0.2</v>
      </c>
      <c r="AE115" s="5">
        <f t="shared" si="103"/>
        <v>1.1309733552923256</v>
      </c>
      <c r="AF115" s="5">
        <f t="shared" si="104"/>
        <v>0.60980532894153494</v>
      </c>
      <c r="AG115" s="21">
        <v>2.12</v>
      </c>
      <c r="AH115" s="5">
        <f t="shared" si="105"/>
        <v>2.529866666666666</v>
      </c>
      <c r="AI115" s="5">
        <f t="shared" si="106"/>
        <v>0.50597333333333327</v>
      </c>
      <c r="AJ115" s="5">
        <f t="shared" si="107"/>
        <v>5.2</v>
      </c>
      <c r="AK115" s="5">
        <f t="shared" si="108"/>
        <v>5.5500000000000007</v>
      </c>
      <c r="AL115" s="5">
        <f t="shared" si="109"/>
        <v>1.1100000000000001</v>
      </c>
      <c r="AM115" s="5">
        <f t="shared" si="110"/>
        <v>2.2257786622748683</v>
      </c>
      <c r="AO115" s="21">
        <v>1.5</v>
      </c>
      <c r="AP115" s="5">
        <f t="shared" si="111"/>
        <v>2.2000000000000002</v>
      </c>
      <c r="AQ115" s="21">
        <v>0.2</v>
      </c>
      <c r="AR115" s="5">
        <f t="shared" si="112"/>
        <v>1.1309733552923256</v>
      </c>
      <c r="AS115" s="5">
        <f t="shared" si="113"/>
        <v>0.4338053289415349</v>
      </c>
      <c r="AT115" s="21">
        <v>2.12</v>
      </c>
      <c r="AU115" s="5">
        <f t="shared" si="114"/>
        <v>1.6818666666666668</v>
      </c>
      <c r="AV115" s="5">
        <f t="shared" si="115"/>
        <v>0.33637333333333341</v>
      </c>
      <c r="AW115" s="5">
        <f t="shared" si="116"/>
        <v>5.2</v>
      </c>
      <c r="AX115" s="5">
        <f t="shared" si="117"/>
        <v>5.5500000000000007</v>
      </c>
      <c r="AY115" s="5">
        <f t="shared" si="118"/>
        <v>1.1100000000000001</v>
      </c>
      <c r="AZ115" s="5">
        <f t="shared" si="119"/>
        <v>1.8801786622748684</v>
      </c>
      <c r="BB115" s="163"/>
      <c r="BC115" s="118"/>
      <c r="BD115" s="118"/>
      <c r="BE115" s="118"/>
      <c r="BF115" s="118"/>
      <c r="BG115" s="183"/>
      <c r="BH115" s="163"/>
      <c r="BI115" s="167"/>
      <c r="BJ115" s="167"/>
      <c r="BK115" s="167"/>
      <c r="BL115" s="167"/>
      <c r="BN115" s="5">
        <f t="shared" si="146"/>
        <v>4.1059573245497365</v>
      </c>
      <c r="BO115" s="5">
        <f t="shared" si="147"/>
        <v>0</v>
      </c>
      <c r="BP115" s="5">
        <f t="shared" si="148"/>
        <v>0</v>
      </c>
      <c r="BQ115" s="5">
        <f t="shared" si="149"/>
        <v>0</v>
      </c>
      <c r="BR115" s="5">
        <f t="shared" si="150"/>
        <v>0</v>
      </c>
      <c r="BS115" s="163">
        <f t="shared" si="151"/>
        <v>1</v>
      </c>
      <c r="BT115" s="163">
        <f t="shared" si="152"/>
        <v>0</v>
      </c>
      <c r="BU115" s="163">
        <f t="shared" si="153"/>
        <v>0</v>
      </c>
      <c r="BV115" s="163">
        <f t="shared" si="154"/>
        <v>0</v>
      </c>
      <c r="BW115" s="163">
        <f t="shared" si="155"/>
        <v>0</v>
      </c>
      <c r="BX115" s="163">
        <f t="shared" si="156"/>
        <v>1</v>
      </c>
      <c r="BY115" s="163">
        <f t="shared" si="157"/>
        <v>0</v>
      </c>
      <c r="BZ115" s="163">
        <f t="shared" si="158"/>
        <v>0</v>
      </c>
      <c r="CA115" s="163">
        <f t="shared" si="159"/>
        <v>0</v>
      </c>
      <c r="CB115" s="163">
        <f t="shared" si="160"/>
        <v>0</v>
      </c>
      <c r="CC115" s="163">
        <f t="shared" si="120"/>
        <v>2</v>
      </c>
      <c r="CD115" s="163">
        <f t="shared" si="121"/>
        <v>0</v>
      </c>
      <c r="CE115" s="163">
        <f t="shared" si="122"/>
        <v>0</v>
      </c>
      <c r="CF115" s="163">
        <f t="shared" si="123"/>
        <v>0</v>
      </c>
      <c r="CG115" s="163">
        <f t="shared" si="124"/>
        <v>0</v>
      </c>
      <c r="CI115" s="167"/>
      <c r="CJ115" s="167"/>
      <c r="CK115" s="5"/>
      <c r="CL115" s="5"/>
      <c r="CM115" s="5" t="str">
        <f t="shared" si="126"/>
        <v/>
      </c>
      <c r="CN115" s="5" t="str">
        <f t="shared" si="127"/>
        <v/>
      </c>
      <c r="CO115" s="5" t="str">
        <f t="shared" si="128"/>
        <v/>
      </c>
      <c r="CP115" s="5" t="str">
        <f t="shared" si="141"/>
        <v/>
      </c>
      <c r="CQ115" s="5" t="str">
        <f t="shared" si="129"/>
        <v/>
      </c>
      <c r="CR115" s="5" t="str">
        <f t="shared" si="130"/>
        <v/>
      </c>
      <c r="CS115" s="5" t="str">
        <f t="shared" si="131"/>
        <v/>
      </c>
      <c r="CT115" s="50">
        <f t="shared" si="132"/>
        <v>0</v>
      </c>
      <c r="CU115" s="50">
        <f t="shared" si="133"/>
        <v>0</v>
      </c>
      <c r="CV115" s="50">
        <f t="shared" si="134"/>
        <v>0</v>
      </c>
      <c r="CW115" s="50">
        <f t="shared" si="135"/>
        <v>0</v>
      </c>
      <c r="CX115" s="190">
        <f t="shared" si="142"/>
        <v>0</v>
      </c>
      <c r="CZ115" s="1">
        <v>2</v>
      </c>
      <c r="DA115" s="167">
        <f t="shared" si="136"/>
        <v>1.7</v>
      </c>
      <c r="DB115" s="1">
        <f>Alcantarillas!AX120</f>
        <v>13.4</v>
      </c>
      <c r="DC115" s="5">
        <f t="shared" si="137"/>
        <v>45.56</v>
      </c>
      <c r="DE115" s="172">
        <f t="shared" si="138"/>
        <v>0</v>
      </c>
      <c r="DF115" s="172">
        <f t="shared" si="139"/>
        <v>0</v>
      </c>
    </row>
    <row r="116" spans="14:110" x14ac:dyDescent="0.25">
      <c r="P116" s="162">
        <f>SUM(P6:P115)</f>
        <v>99</v>
      </c>
      <c r="Q116" s="162">
        <f>SUM(Q6:Q115)</f>
        <v>0</v>
      </c>
      <c r="R116" s="162">
        <f>SUM(R6:R115)</f>
        <v>4</v>
      </c>
      <c r="S116" s="162">
        <f>SUM(S6:S115)</f>
        <v>3</v>
      </c>
      <c r="T116" s="162">
        <f t="shared" ref="T116" si="161">SUM(T6:T115)</f>
        <v>4</v>
      </c>
      <c r="V116" s="162">
        <f>SUM(V6:V115)</f>
        <v>1359.75</v>
      </c>
      <c r="W116" s="162">
        <f>SUM(W6:W115)</f>
        <v>0</v>
      </c>
      <c r="X116" s="162">
        <f>SUM(X6:X115)</f>
        <v>59.900000000000006</v>
      </c>
      <c r="Y116" s="162">
        <f>SUM(Y6:Y115)</f>
        <v>40.549999999999997</v>
      </c>
      <c r="Z116" s="162">
        <f>SUM(Z6:Z115)</f>
        <v>77.25</v>
      </c>
      <c r="AM116" s="143">
        <f>SUM(AM6:AM115)</f>
        <v>90.904718294757345</v>
      </c>
      <c r="AZ116" s="143">
        <f>SUM(AZ6:AZ115)</f>
        <v>237.39980991167121</v>
      </c>
      <c r="BB116">
        <f>SUM(BB6:BB115)</f>
        <v>793</v>
      </c>
      <c r="BC116" s="177">
        <f>SUM(BC6:BC115)</f>
        <v>1189.5</v>
      </c>
      <c r="BD116" s="177">
        <f>SUM(BD6:BD115)</f>
        <v>8596.0499999999975</v>
      </c>
      <c r="BE116" s="177">
        <f>SUM(BE6:BE115)</f>
        <v>626.20000000000005</v>
      </c>
      <c r="BF116" s="97">
        <f>SUM(BF6:BF115)</f>
        <v>4527.29</v>
      </c>
      <c r="BG116" s="184"/>
      <c r="BH116">
        <f>SUM(BH111:BH115)</f>
        <v>8</v>
      </c>
      <c r="BI116" s="177">
        <f>SUM(BI6:BI115)</f>
        <v>4.8000000000000007</v>
      </c>
      <c r="BJ116" s="177">
        <f>SUM(BJ6:BJ115)</f>
        <v>34.560000000000009</v>
      </c>
      <c r="BK116">
        <f>SUM(BK6:BK115)</f>
        <v>16</v>
      </c>
      <c r="BL116">
        <f>SUM(BL6:BL115)</f>
        <v>115.2</v>
      </c>
      <c r="BN116" s="143">
        <f>SUM(BN6:BN115)</f>
        <v>282.23579410012468</v>
      </c>
      <c r="BO116" s="143">
        <f t="shared" ref="BO116:BR116" si="162">SUM(BO6:BO115)</f>
        <v>0</v>
      </c>
      <c r="BP116" s="143">
        <f t="shared" si="162"/>
        <v>16.503080772970737</v>
      </c>
      <c r="BQ116" s="143">
        <f t="shared" si="162"/>
        <v>10.607866666666668</v>
      </c>
      <c r="BR116" s="143">
        <f t="shared" si="162"/>
        <v>18.957786666666671</v>
      </c>
      <c r="CC116" s="95">
        <f>SUM(CC6:CC115)</f>
        <v>129</v>
      </c>
      <c r="CD116" s="95">
        <f t="shared" ref="CD116:CG116" si="163">SUM(CD6:CD115)</f>
        <v>0</v>
      </c>
      <c r="CE116" s="95">
        <f t="shared" si="163"/>
        <v>7</v>
      </c>
      <c r="CF116" s="95">
        <f t="shared" si="163"/>
        <v>5</v>
      </c>
      <c r="CG116" s="95">
        <f t="shared" si="163"/>
        <v>8</v>
      </c>
      <c r="CK116" s="143">
        <f>SUM(CK6:CK115)</f>
        <v>453.77500000000032</v>
      </c>
      <c r="CL116" s="143"/>
      <c r="CM116" s="143"/>
      <c r="CN116" s="143"/>
      <c r="CO116" s="143"/>
      <c r="CP116" s="143">
        <f>SUM(CP6:CP115)</f>
        <v>119.81175</v>
      </c>
      <c r="CQ116" s="143">
        <f t="shared" ref="CQ116:CS116" si="164">SUM(CQ6:CQ115)</f>
        <v>2.0804999999999998</v>
      </c>
      <c r="CR116" s="143">
        <f t="shared" si="164"/>
        <v>1.4789999999999999</v>
      </c>
      <c r="CS116" s="143">
        <f t="shared" si="164"/>
        <v>0</v>
      </c>
      <c r="CT116" s="194">
        <f>SUM(CT6:CT115)</f>
        <v>69</v>
      </c>
      <c r="CU116" s="194">
        <f t="shared" ref="CU116:CW116" si="165">SUM(CU6:CU115)</f>
        <v>1</v>
      </c>
      <c r="CV116" s="194">
        <f t="shared" si="165"/>
        <v>1</v>
      </c>
      <c r="CW116" s="194">
        <f t="shared" si="165"/>
        <v>0</v>
      </c>
      <c r="CX116" s="194">
        <f>SUM(CX6:CX115)</f>
        <v>71</v>
      </c>
      <c r="DC116" s="143">
        <f>SUM(DC6:DC115)</f>
        <v>8094.2250000000013</v>
      </c>
      <c r="DE116" s="95">
        <f>SUM(DE6:DE115)</f>
        <v>31032.5</v>
      </c>
      <c r="DF116" s="95">
        <f>SUM(DF6:DF115)</f>
        <v>401.28000000000003</v>
      </c>
    </row>
    <row r="117" spans="14:110" x14ac:dyDescent="0.25">
      <c r="DE117" s="110" t="s">
        <v>376</v>
      </c>
      <c r="DF117" s="35">
        <f>DE116+DF116</f>
        <v>31433.78</v>
      </c>
    </row>
    <row r="119" spans="14:110" x14ac:dyDescent="0.25">
      <c r="BJ119" s="186" t="s">
        <v>355</v>
      </c>
      <c r="BK119" s="43"/>
      <c r="BL119" s="187">
        <f>BL116+BF116</f>
        <v>4642.49</v>
      </c>
      <c r="BM119" s="170" t="s">
        <v>148</v>
      </c>
    </row>
  </sheetData>
  <mergeCells count="56">
    <mergeCell ref="C7:C8"/>
    <mergeCell ref="H7:H8"/>
    <mergeCell ref="J7:J8"/>
    <mergeCell ref="P4:Z4"/>
    <mergeCell ref="H54:I54"/>
    <mergeCell ref="E23:E24"/>
    <mergeCell ref="F23:F24"/>
    <mergeCell ref="G23:G24"/>
    <mergeCell ref="H35:H36"/>
    <mergeCell ref="AG4:AI4"/>
    <mergeCell ref="AJ4:AL4"/>
    <mergeCell ref="AB3:AM3"/>
    <mergeCell ref="AO3:AZ3"/>
    <mergeCell ref="AO4:AS4"/>
    <mergeCell ref="AT4:AV4"/>
    <mergeCell ref="AW4:AY4"/>
    <mergeCell ref="CZ3:DC3"/>
    <mergeCell ref="CI5:CJ5"/>
    <mergeCell ref="CI4:CJ4"/>
    <mergeCell ref="BK4:BL4"/>
    <mergeCell ref="BB4:BD4"/>
    <mergeCell ref="BH4:BJ4"/>
    <mergeCell ref="BE4:BF4"/>
    <mergeCell ref="CC4:CG4"/>
    <mergeCell ref="BN4:BR4"/>
    <mergeCell ref="BS4:BW4"/>
    <mergeCell ref="BX4:CB4"/>
    <mergeCell ref="BB3:BF3"/>
    <mergeCell ref="BH3:BL3"/>
    <mergeCell ref="DE3:DF3"/>
    <mergeCell ref="B57:D57"/>
    <mergeCell ref="B58:D58"/>
    <mergeCell ref="B45:E46"/>
    <mergeCell ref="H23:H24"/>
    <mergeCell ref="F45:F46"/>
    <mergeCell ref="CL4:CO4"/>
    <mergeCell ref="CP4:CS4"/>
    <mergeCell ref="CT4:CW4"/>
    <mergeCell ref="D35:D36"/>
    <mergeCell ref="E35:E36"/>
    <mergeCell ref="F35:F36"/>
    <mergeCell ref="G35:G36"/>
    <mergeCell ref="AB4:AF4"/>
    <mergeCell ref="I45:I46"/>
    <mergeCell ref="D23:D24"/>
    <mergeCell ref="B67:D67"/>
    <mergeCell ref="B68:D68"/>
    <mergeCell ref="B47:E47"/>
    <mergeCell ref="B48:E48"/>
    <mergeCell ref="B49:E49"/>
    <mergeCell ref="B50:E50"/>
    <mergeCell ref="B59:D59"/>
    <mergeCell ref="E55:E56"/>
    <mergeCell ref="B55:D56"/>
    <mergeCell ref="B65:D66"/>
    <mergeCell ref="B60:D60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zoomScale="80" zoomScaleNormal="80" workbookViewId="0">
      <selection activeCell="F19" sqref="F19"/>
    </sheetView>
  </sheetViews>
  <sheetFormatPr baseColWidth="10" defaultRowHeight="15" x14ac:dyDescent="0.25"/>
  <cols>
    <col min="5" max="5" width="13.5703125" bestFit="1" customWidth="1"/>
    <col min="8" max="8" width="17.85546875" bestFit="1" customWidth="1"/>
    <col min="10" max="10" width="13.5703125" bestFit="1" customWidth="1"/>
  </cols>
  <sheetData>
    <row r="2" spans="2:10" x14ac:dyDescent="0.25">
      <c r="C2" s="4" t="s">
        <v>3</v>
      </c>
    </row>
    <row r="3" spans="2:10" x14ac:dyDescent="0.25">
      <c r="C3" s="4"/>
      <c r="H3" s="14" t="s">
        <v>27</v>
      </c>
      <c r="I3" s="14" t="s">
        <v>28</v>
      </c>
    </row>
    <row r="4" spans="2:10" x14ac:dyDescent="0.25">
      <c r="C4" s="19" t="s">
        <v>25</v>
      </c>
      <c r="H4" s="13" t="s">
        <v>26</v>
      </c>
      <c r="I4" s="13" t="s">
        <v>23</v>
      </c>
    </row>
    <row r="5" spans="2:10" x14ac:dyDescent="0.25">
      <c r="C5" s="2"/>
      <c r="H5" s="13" t="s">
        <v>17</v>
      </c>
      <c r="I5" s="13" t="s">
        <v>24</v>
      </c>
    </row>
    <row r="6" spans="2:10" x14ac:dyDescent="0.25">
      <c r="D6" s="214" t="s">
        <v>18</v>
      </c>
      <c r="E6" s="214"/>
    </row>
    <row r="7" spans="2:10" x14ac:dyDescent="0.25">
      <c r="C7" s="8" t="s">
        <v>0</v>
      </c>
      <c r="D7" s="8" t="s">
        <v>16</v>
      </c>
      <c r="E7" s="8" t="s">
        <v>17</v>
      </c>
    </row>
    <row r="8" spans="2:10" x14ac:dyDescent="0.25">
      <c r="B8" s="7">
        <v>1</v>
      </c>
      <c r="C8" s="9">
        <v>1972</v>
      </c>
      <c r="D8" s="7">
        <v>29.1</v>
      </c>
      <c r="E8" s="7">
        <v>25.6</v>
      </c>
    </row>
    <row r="9" spans="2:10" x14ac:dyDescent="0.25">
      <c r="B9" s="7">
        <v>2</v>
      </c>
      <c r="C9" s="9">
        <v>1973</v>
      </c>
      <c r="D9" s="7">
        <v>24.5</v>
      </c>
      <c r="E9" s="7">
        <v>33.200000000000003</v>
      </c>
    </row>
    <row r="10" spans="2:10" x14ac:dyDescent="0.25">
      <c r="B10" s="7">
        <v>3</v>
      </c>
      <c r="C10" s="9">
        <v>1974</v>
      </c>
      <c r="D10" s="7">
        <v>36.700000000000003</v>
      </c>
      <c r="E10" s="7">
        <v>24</v>
      </c>
    </row>
    <row r="11" spans="2:10" x14ac:dyDescent="0.25">
      <c r="B11" s="13">
        <v>4</v>
      </c>
      <c r="C11" s="9">
        <v>1975</v>
      </c>
      <c r="D11" s="7">
        <v>28.4</v>
      </c>
      <c r="E11" s="7">
        <v>23.7</v>
      </c>
      <c r="H11" s="2" t="s">
        <v>1</v>
      </c>
    </row>
    <row r="12" spans="2:10" x14ac:dyDescent="0.25">
      <c r="B12" s="13">
        <v>5</v>
      </c>
      <c r="C12" s="9">
        <v>1976</v>
      </c>
      <c r="D12" s="7">
        <v>30.3</v>
      </c>
      <c r="E12" s="7">
        <v>19.2</v>
      </c>
    </row>
    <row r="13" spans="2:10" x14ac:dyDescent="0.25">
      <c r="B13" s="13">
        <v>6</v>
      </c>
      <c r="C13" s="9">
        <v>1977</v>
      </c>
      <c r="D13" s="7">
        <v>21.6</v>
      </c>
      <c r="E13" s="7">
        <v>27.8</v>
      </c>
      <c r="I13" s="8" t="s">
        <v>16</v>
      </c>
      <c r="J13" s="8" t="s">
        <v>17</v>
      </c>
    </row>
    <row r="14" spans="2:10" x14ac:dyDescent="0.25">
      <c r="B14" s="13">
        <v>7</v>
      </c>
      <c r="C14" s="9">
        <v>1978</v>
      </c>
      <c r="D14" s="27">
        <v>51.5</v>
      </c>
      <c r="E14" s="7">
        <v>21.4</v>
      </c>
      <c r="H14" s="7" t="s">
        <v>2</v>
      </c>
      <c r="I14" s="5">
        <f>(SUM(D8:D19,D23:D48))/38</f>
        <v>33.015789473684215</v>
      </c>
      <c r="J14" s="5">
        <f>(SUM(E8:E19,E23,E43:E48))/19</f>
        <v>28.731578947368426</v>
      </c>
    </row>
    <row r="15" spans="2:10" x14ac:dyDescent="0.25">
      <c r="B15" s="13">
        <v>8</v>
      </c>
      <c r="C15" s="9">
        <v>1979</v>
      </c>
      <c r="D15" s="7">
        <v>23.7</v>
      </c>
      <c r="E15" s="7">
        <v>40.200000000000003</v>
      </c>
      <c r="H15" s="7" t="s">
        <v>4</v>
      </c>
      <c r="I15" s="1">
        <f>MAX(D8:D19,D23:D48)</f>
        <v>67.3</v>
      </c>
      <c r="J15" s="1">
        <f>MAX(E8:E19,E23,E43:E48)</f>
        <v>42</v>
      </c>
    </row>
    <row r="16" spans="2:10" x14ac:dyDescent="0.25">
      <c r="B16" s="13">
        <v>9</v>
      </c>
      <c r="C16" s="9">
        <v>1980</v>
      </c>
      <c r="D16" s="7">
        <v>39</v>
      </c>
      <c r="E16" s="7">
        <v>38.9</v>
      </c>
      <c r="H16" s="7" t="s">
        <v>5</v>
      </c>
      <c r="I16" s="1">
        <f>MIN(D8:D19,D23:D48)</f>
        <v>21.6</v>
      </c>
      <c r="J16" s="1">
        <f>MIN(E8:E19,E23,E43:E48)</f>
        <v>13.1</v>
      </c>
    </row>
    <row r="17" spans="2:12" x14ac:dyDescent="0.25">
      <c r="B17" s="13">
        <v>10</v>
      </c>
      <c r="C17" s="9">
        <v>1981</v>
      </c>
      <c r="D17" s="7">
        <v>40.4</v>
      </c>
      <c r="E17" s="7">
        <v>29.2</v>
      </c>
      <c r="H17" s="7" t="s">
        <v>6</v>
      </c>
      <c r="I17" s="5">
        <f>_xlfn.STDEV.S(D8:D19,D23:D48)</f>
        <v>9.4835141826106728</v>
      </c>
      <c r="J17" s="5">
        <f>_xlfn.STDEV.S(E8:E19,E23,E43:E48)</f>
        <v>8.0542640626343474</v>
      </c>
    </row>
    <row r="18" spans="2:12" x14ac:dyDescent="0.25">
      <c r="B18" s="13">
        <v>11</v>
      </c>
      <c r="C18" s="9">
        <v>1982</v>
      </c>
      <c r="D18" s="7">
        <v>25.4</v>
      </c>
      <c r="E18" s="7">
        <v>30.6</v>
      </c>
    </row>
    <row r="19" spans="2:12" x14ac:dyDescent="0.25">
      <c r="B19" s="13">
        <v>12</v>
      </c>
      <c r="C19" s="9">
        <v>1983</v>
      </c>
      <c r="D19" s="7">
        <v>43.4</v>
      </c>
      <c r="E19" s="7">
        <v>35.299999999999997</v>
      </c>
    </row>
    <row r="20" spans="2:12" x14ac:dyDescent="0.25">
      <c r="B20" s="13">
        <v>13</v>
      </c>
      <c r="C20" s="9">
        <v>1984</v>
      </c>
      <c r="D20" s="7"/>
      <c r="E20" s="7"/>
    </row>
    <row r="21" spans="2:12" x14ac:dyDescent="0.25">
      <c r="B21" s="13">
        <v>14</v>
      </c>
      <c r="C21" s="9">
        <v>1985</v>
      </c>
      <c r="D21" s="7"/>
      <c r="E21" s="7"/>
    </row>
    <row r="22" spans="2:12" x14ac:dyDescent="0.25">
      <c r="B22" s="13">
        <v>15</v>
      </c>
      <c r="C22" s="9">
        <v>1986</v>
      </c>
      <c r="D22" s="7"/>
      <c r="E22" s="7"/>
    </row>
    <row r="23" spans="2:12" x14ac:dyDescent="0.25">
      <c r="B23" s="13">
        <v>16</v>
      </c>
      <c r="C23" s="9">
        <v>1987</v>
      </c>
      <c r="D23" s="7">
        <v>33.5</v>
      </c>
      <c r="E23" s="7">
        <v>26.8</v>
      </c>
    </row>
    <row r="24" spans="2:12" x14ac:dyDescent="0.25">
      <c r="B24" s="13">
        <v>17</v>
      </c>
      <c r="C24" s="9">
        <v>1988</v>
      </c>
      <c r="D24" s="7">
        <v>34.1</v>
      </c>
      <c r="E24" s="7"/>
    </row>
    <row r="25" spans="2:12" x14ac:dyDescent="0.25">
      <c r="B25" s="13">
        <v>18</v>
      </c>
      <c r="C25" s="9">
        <v>1989</v>
      </c>
      <c r="D25" s="7">
        <v>26.6</v>
      </c>
      <c r="E25" s="7"/>
    </row>
    <row r="26" spans="2:12" x14ac:dyDescent="0.25">
      <c r="B26" s="13">
        <v>19</v>
      </c>
      <c r="C26" s="9">
        <v>1990</v>
      </c>
      <c r="D26" s="7">
        <v>33.4</v>
      </c>
      <c r="E26" s="7"/>
      <c r="I26" s="2" t="s">
        <v>16</v>
      </c>
    </row>
    <row r="27" spans="2:12" x14ac:dyDescent="0.25">
      <c r="B27" s="13">
        <v>20</v>
      </c>
      <c r="C27" s="9">
        <v>1991</v>
      </c>
      <c r="D27" s="7">
        <v>22.7</v>
      </c>
      <c r="E27" s="7"/>
    </row>
    <row r="28" spans="2:12" x14ac:dyDescent="0.25">
      <c r="B28" s="13">
        <v>21</v>
      </c>
      <c r="C28" s="9">
        <v>1992</v>
      </c>
      <c r="D28" s="7">
        <v>21.8</v>
      </c>
      <c r="E28" s="7"/>
      <c r="I28" s="8" t="s">
        <v>10</v>
      </c>
      <c r="J28" s="8" t="s">
        <v>11</v>
      </c>
      <c r="K28" s="8" t="s">
        <v>14</v>
      </c>
      <c r="L28" s="10" t="s">
        <v>15</v>
      </c>
    </row>
    <row r="29" spans="2:12" x14ac:dyDescent="0.25">
      <c r="B29" s="13">
        <v>22</v>
      </c>
      <c r="C29" s="9">
        <v>1993</v>
      </c>
      <c r="D29" s="7">
        <v>22.3</v>
      </c>
      <c r="E29" s="7"/>
      <c r="I29" s="7">
        <v>2</v>
      </c>
      <c r="J29" s="7">
        <f t="shared" ref="J29:J34" si="0">1-(1/I29)</f>
        <v>0.5</v>
      </c>
      <c r="K29" s="5">
        <f t="shared" ref="K29:K34" si="1">$K$37-($K$36*(LN(-LN(J29))))</f>
        <v>31.457913234673335</v>
      </c>
      <c r="L29" s="7">
        <f t="shared" ref="L29:L34" si="2">1-J29</f>
        <v>0.5</v>
      </c>
    </row>
    <row r="30" spans="2:12" x14ac:dyDescent="0.25">
      <c r="B30" s="13">
        <v>23</v>
      </c>
      <c r="C30" s="9">
        <v>1994</v>
      </c>
      <c r="D30" s="7">
        <v>47.4</v>
      </c>
      <c r="E30" s="7"/>
      <c r="I30" s="7">
        <v>5</v>
      </c>
      <c r="J30" s="7">
        <f t="shared" si="0"/>
        <v>0.8</v>
      </c>
      <c r="K30" s="5">
        <f t="shared" si="1"/>
        <v>39.838774082548461</v>
      </c>
      <c r="L30" s="7">
        <f t="shared" si="2"/>
        <v>0.19999999999999996</v>
      </c>
    </row>
    <row r="31" spans="2:12" x14ac:dyDescent="0.25">
      <c r="B31" s="13">
        <v>24</v>
      </c>
      <c r="C31" s="9">
        <v>1995</v>
      </c>
      <c r="D31" s="7">
        <v>44.6</v>
      </c>
      <c r="E31" s="7"/>
      <c r="I31" s="7">
        <v>10</v>
      </c>
      <c r="J31" s="7">
        <f t="shared" si="0"/>
        <v>0.9</v>
      </c>
      <c r="K31" s="5">
        <f t="shared" si="1"/>
        <v>45.387633206606324</v>
      </c>
      <c r="L31" s="7">
        <f t="shared" si="2"/>
        <v>9.9999999999999978E-2</v>
      </c>
    </row>
    <row r="32" spans="2:12" x14ac:dyDescent="0.25">
      <c r="B32" s="13">
        <v>25</v>
      </c>
      <c r="C32" s="9">
        <v>1996</v>
      </c>
      <c r="D32" s="7">
        <v>33.6</v>
      </c>
      <c r="E32" s="7"/>
      <c r="I32" s="20">
        <v>25</v>
      </c>
      <c r="J32" s="20">
        <f t="shared" si="0"/>
        <v>0.96</v>
      </c>
      <c r="K32" s="21">
        <f t="shared" si="1"/>
        <v>52.398631419593791</v>
      </c>
      <c r="L32" s="20">
        <f t="shared" si="2"/>
        <v>4.0000000000000036E-2</v>
      </c>
    </row>
    <row r="33" spans="2:12" x14ac:dyDescent="0.25">
      <c r="B33" s="13">
        <v>26</v>
      </c>
      <c r="C33" s="9">
        <v>1997</v>
      </c>
      <c r="D33" s="7">
        <v>43.2</v>
      </c>
      <c r="E33" s="7"/>
      <c r="I33" s="7">
        <v>50</v>
      </c>
      <c r="J33" s="7">
        <f t="shared" si="0"/>
        <v>0.98</v>
      </c>
      <c r="K33" s="5">
        <f t="shared" si="1"/>
        <v>57.599790402544173</v>
      </c>
      <c r="L33" s="7">
        <f t="shared" si="2"/>
        <v>2.0000000000000018E-2</v>
      </c>
    </row>
    <row r="34" spans="2:12" x14ac:dyDescent="0.25">
      <c r="B34" s="13">
        <v>27</v>
      </c>
      <c r="C34" s="9">
        <v>1998</v>
      </c>
      <c r="D34" s="7">
        <v>39.700000000000003</v>
      </c>
      <c r="E34" s="7"/>
      <c r="I34" s="7">
        <v>100</v>
      </c>
      <c r="J34" s="7">
        <f t="shared" si="0"/>
        <v>0.99</v>
      </c>
      <c r="K34" s="5">
        <f t="shared" si="1"/>
        <v>62.762544843994775</v>
      </c>
      <c r="L34" s="7">
        <f t="shared" si="2"/>
        <v>1.0000000000000009E-2</v>
      </c>
    </row>
    <row r="35" spans="2:12" x14ac:dyDescent="0.25">
      <c r="B35" s="13">
        <v>28</v>
      </c>
      <c r="C35" s="9">
        <v>1999</v>
      </c>
      <c r="D35" s="7">
        <v>32.200000000000003</v>
      </c>
      <c r="E35" s="7"/>
    </row>
    <row r="36" spans="2:12" x14ac:dyDescent="0.25">
      <c r="B36" s="13">
        <v>29</v>
      </c>
      <c r="C36" s="9">
        <v>2000</v>
      </c>
      <c r="D36" s="7">
        <v>67.3</v>
      </c>
      <c r="E36" s="7"/>
      <c r="J36" s="6" t="s">
        <v>12</v>
      </c>
      <c r="K36" s="5">
        <f>SQRT(6)*I17/PI()</f>
        <v>7.3942656726357416</v>
      </c>
    </row>
    <row r="37" spans="2:12" x14ac:dyDescent="0.25">
      <c r="B37" s="13">
        <v>30</v>
      </c>
      <c r="C37" s="9">
        <v>2001</v>
      </c>
      <c r="D37" s="7">
        <v>30.4</v>
      </c>
      <c r="E37" s="7"/>
      <c r="J37" s="7" t="s">
        <v>13</v>
      </c>
      <c r="K37" s="5">
        <f>I14-(0.5772*K36)</f>
        <v>28.747819327438865</v>
      </c>
    </row>
    <row r="38" spans="2:12" x14ac:dyDescent="0.25">
      <c r="B38" s="13">
        <v>31</v>
      </c>
      <c r="C38" s="9">
        <v>2002</v>
      </c>
      <c r="D38" s="7">
        <v>23.5</v>
      </c>
      <c r="E38" s="7"/>
    </row>
    <row r="39" spans="2:12" x14ac:dyDescent="0.25">
      <c r="B39" s="13">
        <v>32</v>
      </c>
      <c r="C39" s="9">
        <v>2003</v>
      </c>
      <c r="D39" s="7">
        <v>34.4</v>
      </c>
      <c r="E39" s="7"/>
    </row>
    <row r="40" spans="2:12" x14ac:dyDescent="0.25">
      <c r="B40" s="13">
        <v>33</v>
      </c>
      <c r="C40" s="9">
        <v>2004</v>
      </c>
      <c r="D40" s="7">
        <v>37.6</v>
      </c>
      <c r="E40" s="7"/>
    </row>
    <row r="41" spans="2:12" x14ac:dyDescent="0.25">
      <c r="B41" s="13">
        <v>34</v>
      </c>
      <c r="C41" s="9">
        <v>2005</v>
      </c>
      <c r="D41" s="7">
        <v>35</v>
      </c>
      <c r="E41" s="7"/>
      <c r="I41" s="2" t="s">
        <v>17</v>
      </c>
    </row>
    <row r="42" spans="2:12" x14ac:dyDescent="0.25">
      <c r="B42" s="13">
        <v>35</v>
      </c>
      <c r="C42" s="9">
        <v>2006</v>
      </c>
      <c r="D42" s="7">
        <v>28</v>
      </c>
      <c r="E42" s="7"/>
    </row>
    <row r="43" spans="2:12" x14ac:dyDescent="0.25">
      <c r="B43" s="13">
        <v>36</v>
      </c>
      <c r="C43" s="9">
        <v>2007</v>
      </c>
      <c r="D43" s="7">
        <v>31.5</v>
      </c>
      <c r="E43" s="7">
        <v>13.1</v>
      </c>
      <c r="I43" s="8" t="s">
        <v>10</v>
      </c>
      <c r="J43" s="8" t="s">
        <v>11</v>
      </c>
      <c r="K43" s="8" t="s">
        <v>14</v>
      </c>
      <c r="L43" s="10" t="s">
        <v>15</v>
      </c>
    </row>
    <row r="44" spans="2:12" x14ac:dyDescent="0.25">
      <c r="B44" s="13">
        <v>37</v>
      </c>
      <c r="C44" s="9">
        <v>2008</v>
      </c>
      <c r="D44" s="7">
        <v>27.2</v>
      </c>
      <c r="E44" s="7">
        <v>41.9</v>
      </c>
      <c r="I44" s="7">
        <v>2</v>
      </c>
      <c r="J44" s="7">
        <f>1-(1/I44)</f>
        <v>0.5</v>
      </c>
      <c r="K44" s="5">
        <f>$K$52-($K$51*(LN(-LN(J44))))</f>
        <v>27.408488543928637</v>
      </c>
      <c r="L44" s="7">
        <f>1-J44</f>
        <v>0.5</v>
      </c>
    </row>
    <row r="45" spans="2:12" x14ac:dyDescent="0.25">
      <c r="B45" s="13">
        <v>38</v>
      </c>
      <c r="C45" s="9">
        <v>2009</v>
      </c>
      <c r="D45" s="7">
        <v>29.1</v>
      </c>
      <c r="E45" s="7">
        <v>22.6</v>
      </c>
      <c r="I45" s="7">
        <v>5</v>
      </c>
      <c r="J45" s="7">
        <f>1-(1/I45)</f>
        <v>0.8</v>
      </c>
      <c r="K45" s="5">
        <f t="shared" ref="K45:K49" si="3">$K$52-($K$51*(LN(-LN(J45))))</f>
        <v>34.526278958029927</v>
      </c>
      <c r="L45" s="7">
        <f t="shared" ref="L45:L49" si="4">1-J45</f>
        <v>0.19999999999999996</v>
      </c>
    </row>
    <row r="46" spans="2:12" x14ac:dyDescent="0.25">
      <c r="B46" s="13">
        <v>39</v>
      </c>
      <c r="C46" s="9">
        <v>2010</v>
      </c>
      <c r="D46" s="7">
        <v>24</v>
      </c>
      <c r="E46" s="7">
        <v>24</v>
      </c>
      <c r="I46" s="7">
        <v>10</v>
      </c>
      <c r="J46" s="7">
        <f t="shared" ref="J46:J49" si="5">1-(1/I46)</f>
        <v>0.9</v>
      </c>
      <c r="K46" s="5">
        <f t="shared" si="3"/>
        <v>39.23887555154468</v>
      </c>
      <c r="L46" s="7">
        <f t="shared" si="4"/>
        <v>9.9999999999999978E-2</v>
      </c>
    </row>
    <row r="47" spans="2:12" x14ac:dyDescent="0.25">
      <c r="B47" s="13">
        <v>40</v>
      </c>
      <c r="C47" s="9">
        <v>2011</v>
      </c>
      <c r="D47" s="7">
        <v>30.8</v>
      </c>
      <c r="E47" s="7">
        <v>42</v>
      </c>
      <c r="I47" s="20">
        <v>25</v>
      </c>
      <c r="J47" s="20">
        <f t="shared" si="5"/>
        <v>0.96</v>
      </c>
      <c r="K47" s="21">
        <f t="shared" si="3"/>
        <v>45.193253840301949</v>
      </c>
      <c r="L47" s="20">
        <f t="shared" si="4"/>
        <v>4.0000000000000036E-2</v>
      </c>
    </row>
    <row r="48" spans="2:12" x14ac:dyDescent="0.25">
      <c r="B48" s="13">
        <v>41</v>
      </c>
      <c r="C48" s="9">
        <v>2012</v>
      </c>
      <c r="D48" s="12">
        <v>26.7</v>
      </c>
      <c r="E48" s="12">
        <v>26.4</v>
      </c>
      <c r="I48" s="7">
        <v>50</v>
      </c>
      <c r="J48" s="7">
        <f t="shared" si="5"/>
        <v>0.98</v>
      </c>
      <c r="K48" s="5">
        <f t="shared" si="3"/>
        <v>49.610551803248946</v>
      </c>
      <c r="L48" s="7">
        <f t="shared" si="4"/>
        <v>2.0000000000000018E-2</v>
      </c>
    </row>
    <row r="49" spans="9:12" x14ac:dyDescent="0.25">
      <c r="I49" s="7">
        <v>100</v>
      </c>
      <c r="J49" s="7">
        <f t="shared" si="5"/>
        <v>0.99</v>
      </c>
      <c r="K49" s="5">
        <f t="shared" si="3"/>
        <v>53.995233131424541</v>
      </c>
      <c r="L49" s="7">
        <f t="shared" si="4"/>
        <v>1.0000000000000009E-2</v>
      </c>
    </row>
    <row r="51" spans="9:12" x14ac:dyDescent="0.25">
      <c r="J51" s="6" t="s">
        <v>12</v>
      </c>
      <c r="K51" s="5">
        <f>SQRT(6)*J17/PI()</f>
        <v>6.2798839259273533</v>
      </c>
    </row>
    <row r="52" spans="9:12" x14ac:dyDescent="0.25">
      <c r="J52" s="7" t="s">
        <v>13</v>
      </c>
      <c r="K52" s="5">
        <f>J14-(0.5772*K51)</f>
        <v>25.106829945323156</v>
      </c>
    </row>
  </sheetData>
  <mergeCells count="1">
    <mergeCell ref="D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L68"/>
  <sheetViews>
    <sheetView zoomScale="60" zoomScaleNormal="60" workbookViewId="0">
      <selection activeCell="O57" sqref="O57"/>
    </sheetView>
  </sheetViews>
  <sheetFormatPr baseColWidth="10" defaultRowHeight="15" x14ac:dyDescent="0.25"/>
  <cols>
    <col min="8" max="8" width="12.5703125" bestFit="1" customWidth="1"/>
  </cols>
  <sheetData>
    <row r="2" spans="3:12" x14ac:dyDescent="0.25">
      <c r="C2" s="2" t="s">
        <v>75</v>
      </c>
    </row>
    <row r="4" spans="3:12" x14ac:dyDescent="0.25">
      <c r="C4" s="30" t="s">
        <v>43</v>
      </c>
      <c r="D4" s="30" t="s">
        <v>14</v>
      </c>
      <c r="E4" s="30" t="s">
        <v>69</v>
      </c>
      <c r="F4" s="30" t="s">
        <v>70</v>
      </c>
      <c r="G4" s="32" t="s">
        <v>71</v>
      </c>
      <c r="H4" s="32" t="s">
        <v>72</v>
      </c>
    </row>
    <row r="5" spans="3:12" x14ac:dyDescent="0.25">
      <c r="C5" s="31">
        <v>1</v>
      </c>
      <c r="D5" s="37">
        <v>21.6</v>
      </c>
      <c r="E5" s="39">
        <f>C5/($C$42+1)</f>
        <v>2.564102564102564E-2</v>
      </c>
      <c r="F5" s="39">
        <f>(D5-$L$6)/$L$5</f>
        <v>-0.96667061259255105</v>
      </c>
      <c r="G5" s="39">
        <f>EXP(-EXP(-F5))</f>
        <v>7.2137855948753424E-2</v>
      </c>
      <c r="H5" s="39">
        <f>ABS(E5-G5)</f>
        <v>4.6496830307727784E-2</v>
      </c>
      <c r="K5" s="6" t="s">
        <v>12</v>
      </c>
      <c r="L5" s="5">
        <f>'Precipitaciones máximas'!K36</f>
        <v>7.3942656726357416</v>
      </c>
    </row>
    <row r="6" spans="3:12" x14ac:dyDescent="0.25">
      <c r="C6" s="28">
        <v>2</v>
      </c>
      <c r="D6" s="38">
        <v>21.8</v>
      </c>
      <c r="E6" s="39">
        <f t="shared" ref="E6:E42" si="0">C6/($C$42+1)</f>
        <v>5.128205128205128E-2</v>
      </c>
      <c r="F6" s="39">
        <f t="shared" ref="F6:F42" si="1">(D6-$L$6)/$L$5</f>
        <v>-0.93962262583435985</v>
      </c>
      <c r="G6" s="39">
        <f t="shared" ref="G6:G42" si="2">EXP(-EXP(-F6))</f>
        <v>7.7380882134716944E-2</v>
      </c>
      <c r="H6" s="39">
        <f t="shared" ref="H6:H42" si="3">ABS(E6-G6)</f>
        <v>2.6098830852665664E-2</v>
      </c>
      <c r="K6" s="31" t="s">
        <v>13</v>
      </c>
      <c r="L6" s="5">
        <f>'Precipitaciones máximas'!K37</f>
        <v>28.747819327438865</v>
      </c>
    </row>
    <row r="7" spans="3:12" x14ac:dyDescent="0.25">
      <c r="C7" s="31">
        <v>3</v>
      </c>
      <c r="D7" s="37">
        <v>22.3</v>
      </c>
      <c r="E7" s="39">
        <f t="shared" si="0"/>
        <v>7.6923076923076927E-2</v>
      </c>
      <c r="F7" s="39">
        <f t="shared" si="1"/>
        <v>-0.87200265893888163</v>
      </c>
      <c r="G7" s="39">
        <f t="shared" si="2"/>
        <v>9.1474428875348415E-2</v>
      </c>
      <c r="H7" s="39">
        <f t="shared" si="3"/>
        <v>1.4551351952271488E-2</v>
      </c>
    </row>
    <row r="8" spans="3:12" x14ac:dyDescent="0.25">
      <c r="C8" s="31">
        <v>4</v>
      </c>
      <c r="D8" s="37">
        <v>22.7</v>
      </c>
      <c r="E8" s="39">
        <f t="shared" si="0"/>
        <v>0.10256410256410256</v>
      </c>
      <c r="F8" s="39">
        <f t="shared" si="1"/>
        <v>-0.81790668542249922</v>
      </c>
      <c r="G8" s="39">
        <f t="shared" si="2"/>
        <v>0.10375199010904138</v>
      </c>
      <c r="H8" s="39">
        <f t="shared" si="3"/>
        <v>1.1878875449388149E-3</v>
      </c>
    </row>
    <row r="9" spans="3:12" x14ac:dyDescent="0.25">
      <c r="C9" s="28">
        <v>5</v>
      </c>
      <c r="D9" s="37">
        <v>23.5</v>
      </c>
      <c r="E9" s="39">
        <f t="shared" si="0"/>
        <v>0.12820512820512819</v>
      </c>
      <c r="F9" s="39">
        <f t="shared" si="1"/>
        <v>-0.70971473838973387</v>
      </c>
      <c r="G9" s="39">
        <f t="shared" si="2"/>
        <v>0.1308882829182513</v>
      </c>
      <c r="H9" s="39">
        <f t="shared" si="3"/>
        <v>2.6831547131231093E-3</v>
      </c>
    </row>
    <row r="10" spans="3:12" x14ac:dyDescent="0.25">
      <c r="C10" s="31">
        <v>6</v>
      </c>
      <c r="D10" s="37">
        <v>23.7</v>
      </c>
      <c r="E10" s="39">
        <f t="shared" si="0"/>
        <v>0.15384615384615385</v>
      </c>
      <c r="F10" s="39">
        <f t="shared" si="1"/>
        <v>-0.68266675163154267</v>
      </c>
      <c r="G10" s="39">
        <f t="shared" si="2"/>
        <v>0.13818683967934903</v>
      </c>
      <c r="H10" s="39">
        <f t="shared" si="3"/>
        <v>1.5659314166804827E-2</v>
      </c>
      <c r="K10" s="31" t="s">
        <v>73</v>
      </c>
      <c r="L10" s="39">
        <f>MAX(H5:H42)</f>
        <v>4.6496830307727784E-2</v>
      </c>
    </row>
    <row r="11" spans="3:12" x14ac:dyDescent="0.25">
      <c r="C11" s="31">
        <v>7</v>
      </c>
      <c r="D11" s="37">
        <v>24</v>
      </c>
      <c r="E11" s="39">
        <f t="shared" si="0"/>
        <v>0.17948717948717949</v>
      </c>
      <c r="F11" s="39">
        <f t="shared" si="1"/>
        <v>-0.64209477149425565</v>
      </c>
      <c r="G11" s="39">
        <f t="shared" si="2"/>
        <v>0.14950017176229055</v>
      </c>
      <c r="H11" s="39">
        <f t="shared" si="3"/>
        <v>2.9987007724888937E-2</v>
      </c>
      <c r="K11" s="31" t="s">
        <v>74</v>
      </c>
      <c r="L11" s="31">
        <v>0.215</v>
      </c>
    </row>
    <row r="12" spans="3:12" x14ac:dyDescent="0.25">
      <c r="C12" s="28">
        <v>8</v>
      </c>
      <c r="D12" s="37">
        <v>24.5</v>
      </c>
      <c r="E12" s="39">
        <f t="shared" si="0"/>
        <v>0.20512820512820512</v>
      </c>
      <c r="F12" s="39">
        <f t="shared" si="1"/>
        <v>-0.57447480459877742</v>
      </c>
      <c r="G12" s="39">
        <f t="shared" si="2"/>
        <v>0.1692806261895512</v>
      </c>
      <c r="H12" s="39">
        <f t="shared" si="3"/>
        <v>3.5847578938653923E-2</v>
      </c>
    </row>
    <row r="13" spans="3:12" x14ac:dyDescent="0.25">
      <c r="C13" s="31">
        <v>9</v>
      </c>
      <c r="D13" s="37">
        <v>25.4</v>
      </c>
      <c r="E13" s="39">
        <f t="shared" si="0"/>
        <v>0.23076923076923078</v>
      </c>
      <c r="F13" s="39">
        <f t="shared" si="1"/>
        <v>-0.4527588641869168</v>
      </c>
      <c r="G13" s="39">
        <f t="shared" si="2"/>
        <v>0.20749564659901262</v>
      </c>
      <c r="H13" s="39">
        <f t="shared" si="3"/>
        <v>2.3273584170218159E-2</v>
      </c>
      <c r="K13" s="40" t="s">
        <v>77</v>
      </c>
      <c r="L13" s="41" t="str">
        <f>IF(L10&lt;L11,"Adecuado","Erróneo")</f>
        <v>Adecuado</v>
      </c>
    </row>
    <row r="14" spans="3:12" x14ac:dyDescent="0.25">
      <c r="C14" s="31">
        <v>10</v>
      </c>
      <c r="D14" s="37">
        <v>26.6</v>
      </c>
      <c r="E14" s="39">
        <f t="shared" si="0"/>
        <v>0.25641025641025639</v>
      </c>
      <c r="F14" s="39">
        <f t="shared" si="1"/>
        <v>-0.2904709436377686</v>
      </c>
      <c r="G14" s="39">
        <f t="shared" si="2"/>
        <v>0.26261741065256927</v>
      </c>
      <c r="H14" s="39">
        <f t="shared" si="3"/>
        <v>6.2071542423128845E-3</v>
      </c>
    </row>
    <row r="15" spans="3:12" x14ac:dyDescent="0.25">
      <c r="C15" s="28">
        <v>11</v>
      </c>
      <c r="D15" s="37">
        <v>26.7</v>
      </c>
      <c r="E15" s="39">
        <f t="shared" si="0"/>
        <v>0.28205128205128205</v>
      </c>
      <c r="F15" s="39">
        <f t="shared" si="1"/>
        <v>-0.27694695025867327</v>
      </c>
      <c r="G15" s="39">
        <f t="shared" si="2"/>
        <v>0.26737679679896276</v>
      </c>
      <c r="H15" s="39">
        <f t="shared" si="3"/>
        <v>1.4674485252319291E-2</v>
      </c>
    </row>
    <row r="16" spans="3:12" x14ac:dyDescent="0.25">
      <c r="C16" s="31">
        <v>12</v>
      </c>
      <c r="D16" s="37">
        <v>27.2</v>
      </c>
      <c r="E16" s="39">
        <f t="shared" si="0"/>
        <v>0.30769230769230771</v>
      </c>
      <c r="F16" s="39">
        <f t="shared" si="1"/>
        <v>-0.20932698336319502</v>
      </c>
      <c r="G16" s="39">
        <f t="shared" si="2"/>
        <v>0.29146129712906921</v>
      </c>
      <c r="H16" s="39">
        <f t="shared" si="3"/>
        <v>1.6231010563238502E-2</v>
      </c>
    </row>
    <row r="17" spans="3:8" x14ac:dyDescent="0.25">
      <c r="C17" s="31">
        <v>13</v>
      </c>
      <c r="D17" s="37">
        <v>28</v>
      </c>
      <c r="E17" s="39">
        <f t="shared" si="0"/>
        <v>0.33333333333333331</v>
      </c>
      <c r="F17" s="39">
        <f t="shared" si="1"/>
        <v>-0.10113503633042972</v>
      </c>
      <c r="G17" s="39">
        <f t="shared" si="2"/>
        <v>0.33073889909130599</v>
      </c>
      <c r="H17" s="39">
        <f t="shared" si="3"/>
        <v>2.5944342420273214E-3</v>
      </c>
    </row>
    <row r="18" spans="3:8" x14ac:dyDescent="0.25">
      <c r="C18" s="28">
        <v>14</v>
      </c>
      <c r="D18" s="37">
        <v>28.4</v>
      </c>
      <c r="E18" s="39">
        <f t="shared" si="0"/>
        <v>0.35897435897435898</v>
      </c>
      <c r="F18" s="39">
        <f t="shared" si="1"/>
        <v>-4.7039062814047329E-2</v>
      </c>
      <c r="G18" s="39">
        <f t="shared" si="2"/>
        <v>0.35058119222408335</v>
      </c>
      <c r="H18" s="39">
        <f t="shared" si="3"/>
        <v>8.3931667502756269E-3</v>
      </c>
    </row>
    <row r="19" spans="3:8" x14ac:dyDescent="0.25">
      <c r="C19" s="31">
        <v>15</v>
      </c>
      <c r="D19" s="37">
        <v>29.1</v>
      </c>
      <c r="E19" s="39">
        <f t="shared" si="0"/>
        <v>0.38461538461538464</v>
      </c>
      <c r="F19" s="39">
        <f t="shared" si="1"/>
        <v>4.7628890839622594E-2</v>
      </c>
      <c r="G19" s="39">
        <f t="shared" si="2"/>
        <v>0.38539458655663406</v>
      </c>
      <c r="H19" s="39">
        <f t="shared" si="3"/>
        <v>7.7920194124941888E-4</v>
      </c>
    </row>
    <row r="20" spans="3:8" x14ac:dyDescent="0.25">
      <c r="C20" s="31">
        <v>16</v>
      </c>
      <c r="D20" s="37">
        <v>29.1</v>
      </c>
      <c r="E20" s="39">
        <f t="shared" si="0"/>
        <v>0.41025641025641024</v>
      </c>
      <c r="F20" s="39">
        <f t="shared" si="1"/>
        <v>4.7628890839622594E-2</v>
      </c>
      <c r="G20" s="39">
        <f t="shared" si="2"/>
        <v>0.38539458655663406</v>
      </c>
      <c r="H20" s="39">
        <f t="shared" si="3"/>
        <v>2.4861823699776187E-2</v>
      </c>
    </row>
    <row r="21" spans="3:8" x14ac:dyDescent="0.25">
      <c r="C21" s="28">
        <v>17</v>
      </c>
      <c r="D21" s="37">
        <v>30.3</v>
      </c>
      <c r="E21" s="39">
        <f t="shared" si="0"/>
        <v>0.4358974358974359</v>
      </c>
      <c r="F21" s="39">
        <f t="shared" si="1"/>
        <v>0.20991681138877027</v>
      </c>
      <c r="G21" s="39">
        <f t="shared" si="2"/>
        <v>0.44456825549260748</v>
      </c>
      <c r="H21" s="39">
        <f t="shared" si="3"/>
        <v>8.670819595171575E-3</v>
      </c>
    </row>
    <row r="22" spans="3:8" x14ac:dyDescent="0.25">
      <c r="C22" s="31">
        <v>18</v>
      </c>
      <c r="D22" s="37">
        <v>30.4</v>
      </c>
      <c r="E22" s="39">
        <f t="shared" si="0"/>
        <v>0.46153846153846156</v>
      </c>
      <c r="F22" s="39">
        <f t="shared" si="1"/>
        <v>0.22344080476786563</v>
      </c>
      <c r="G22" s="39">
        <f t="shared" si="2"/>
        <v>0.44943581260895221</v>
      </c>
      <c r="H22" s="39">
        <f t="shared" si="3"/>
        <v>1.2102648929509352E-2</v>
      </c>
    </row>
    <row r="23" spans="3:8" x14ac:dyDescent="0.25">
      <c r="C23" s="31">
        <v>19</v>
      </c>
      <c r="D23" s="37">
        <v>30.8</v>
      </c>
      <c r="E23" s="39">
        <f t="shared" si="0"/>
        <v>0.48717948717948717</v>
      </c>
      <c r="F23" s="39">
        <f t="shared" si="1"/>
        <v>0.2775367782842485</v>
      </c>
      <c r="G23" s="39">
        <f t="shared" si="2"/>
        <v>0.46876781405226892</v>
      </c>
      <c r="H23" s="39">
        <f t="shared" si="3"/>
        <v>1.8411673127218253E-2</v>
      </c>
    </row>
    <row r="24" spans="3:8" x14ac:dyDescent="0.25">
      <c r="C24" s="28">
        <v>20</v>
      </c>
      <c r="D24" s="37">
        <v>31.5</v>
      </c>
      <c r="E24" s="39">
        <f t="shared" si="0"/>
        <v>0.51282051282051277</v>
      </c>
      <c r="F24" s="39">
        <f t="shared" si="1"/>
        <v>0.37220473193791798</v>
      </c>
      <c r="G24" s="39">
        <f t="shared" si="2"/>
        <v>0.50197090248860277</v>
      </c>
      <c r="H24" s="39">
        <f t="shared" si="3"/>
        <v>1.0849610331910009E-2</v>
      </c>
    </row>
    <row r="25" spans="3:8" x14ac:dyDescent="0.25">
      <c r="C25" s="31">
        <v>21</v>
      </c>
      <c r="D25" s="37">
        <v>32.200000000000003</v>
      </c>
      <c r="E25" s="39">
        <f t="shared" si="0"/>
        <v>0.53846153846153844</v>
      </c>
      <c r="F25" s="39">
        <f t="shared" si="1"/>
        <v>0.4668726855915879</v>
      </c>
      <c r="G25" s="39">
        <f t="shared" si="2"/>
        <v>0.53421339360107556</v>
      </c>
      <c r="H25" s="39">
        <f t="shared" si="3"/>
        <v>4.2481448604628769E-3</v>
      </c>
    </row>
    <row r="26" spans="3:8" x14ac:dyDescent="0.25">
      <c r="C26" s="31">
        <v>22</v>
      </c>
      <c r="D26" s="37">
        <v>33.4</v>
      </c>
      <c r="E26" s="39">
        <f t="shared" si="0"/>
        <v>0.5641025641025641</v>
      </c>
      <c r="F26" s="39">
        <f t="shared" si="1"/>
        <v>0.6291606061407351</v>
      </c>
      <c r="G26" s="39">
        <f t="shared" si="2"/>
        <v>0.58681888924305869</v>
      </c>
      <c r="H26" s="39">
        <f t="shared" si="3"/>
        <v>2.2716325140494598E-2</v>
      </c>
    </row>
    <row r="27" spans="3:8" x14ac:dyDescent="0.25">
      <c r="C27" s="28">
        <v>23</v>
      </c>
      <c r="D27" s="37">
        <v>33.5</v>
      </c>
      <c r="E27" s="39">
        <f t="shared" si="0"/>
        <v>0.58974358974358976</v>
      </c>
      <c r="F27" s="39">
        <f t="shared" si="1"/>
        <v>0.64268459951983092</v>
      </c>
      <c r="G27" s="39">
        <f t="shared" si="2"/>
        <v>0.5910357613706021</v>
      </c>
      <c r="H27" s="39">
        <f t="shared" si="3"/>
        <v>1.2921716270123396E-3</v>
      </c>
    </row>
    <row r="28" spans="3:8" x14ac:dyDescent="0.25">
      <c r="C28" s="31">
        <v>24</v>
      </c>
      <c r="D28" s="37">
        <v>33.6</v>
      </c>
      <c r="E28" s="39">
        <f t="shared" si="0"/>
        <v>0.61538461538461542</v>
      </c>
      <c r="F28" s="39">
        <f t="shared" si="1"/>
        <v>0.65620859289892675</v>
      </c>
      <c r="G28" s="39">
        <f t="shared" si="2"/>
        <v>0.59522568203150561</v>
      </c>
      <c r="H28" s="39">
        <f t="shared" si="3"/>
        <v>2.0158933353109809E-2</v>
      </c>
    </row>
    <row r="29" spans="3:8" x14ac:dyDescent="0.25">
      <c r="C29" s="31">
        <v>25</v>
      </c>
      <c r="D29" s="37">
        <v>34.1</v>
      </c>
      <c r="E29" s="39">
        <f t="shared" si="0"/>
        <v>0.64102564102564108</v>
      </c>
      <c r="F29" s="39">
        <f t="shared" si="1"/>
        <v>0.72382855979440497</v>
      </c>
      <c r="G29" s="39">
        <f t="shared" si="2"/>
        <v>0.6157635363726186</v>
      </c>
      <c r="H29" s="39">
        <f t="shared" si="3"/>
        <v>2.5262104653022477E-2</v>
      </c>
    </row>
    <row r="30" spans="3:8" x14ac:dyDescent="0.25">
      <c r="C30" s="28">
        <v>26</v>
      </c>
      <c r="D30" s="37">
        <v>34.4</v>
      </c>
      <c r="E30" s="39">
        <f t="shared" si="0"/>
        <v>0.66666666666666663</v>
      </c>
      <c r="F30" s="39">
        <f t="shared" si="1"/>
        <v>0.76440053993169155</v>
      </c>
      <c r="G30" s="39">
        <f t="shared" si="2"/>
        <v>0.62775019914364094</v>
      </c>
      <c r="H30" s="39">
        <f t="shared" si="3"/>
        <v>3.8916467523025688E-2</v>
      </c>
    </row>
    <row r="31" spans="3:8" x14ac:dyDescent="0.25">
      <c r="C31" s="31">
        <v>27</v>
      </c>
      <c r="D31" s="37">
        <v>35</v>
      </c>
      <c r="E31" s="39">
        <f t="shared" si="0"/>
        <v>0.69230769230769229</v>
      </c>
      <c r="F31" s="39">
        <f t="shared" si="1"/>
        <v>0.8455445002062657</v>
      </c>
      <c r="G31" s="39">
        <f t="shared" si="2"/>
        <v>0.6509492949121799</v>
      </c>
      <c r="H31" s="39">
        <f t="shared" si="3"/>
        <v>4.1358397395512392E-2</v>
      </c>
    </row>
    <row r="32" spans="3:8" x14ac:dyDescent="0.25">
      <c r="C32" s="31">
        <v>28</v>
      </c>
      <c r="D32" s="37">
        <v>36.700000000000003</v>
      </c>
      <c r="E32" s="39">
        <f t="shared" si="0"/>
        <v>0.71794871794871795</v>
      </c>
      <c r="F32" s="39">
        <f t="shared" si="1"/>
        <v>1.0754523876508921</v>
      </c>
      <c r="G32" s="39">
        <f t="shared" si="2"/>
        <v>0.71095695583355167</v>
      </c>
      <c r="H32" s="39">
        <f t="shared" si="3"/>
        <v>6.9917621151662779E-3</v>
      </c>
    </row>
    <row r="33" spans="3:8" x14ac:dyDescent="0.25">
      <c r="C33" s="28">
        <v>29</v>
      </c>
      <c r="D33" s="37">
        <v>37.6</v>
      </c>
      <c r="E33" s="39">
        <f t="shared" si="0"/>
        <v>0.74358974358974361</v>
      </c>
      <c r="F33" s="39">
        <f t="shared" si="1"/>
        <v>1.1971683280627528</v>
      </c>
      <c r="G33" s="39">
        <f t="shared" si="2"/>
        <v>0.73930235291917845</v>
      </c>
      <c r="H33" s="39">
        <f t="shared" si="3"/>
        <v>4.287390670565161E-3</v>
      </c>
    </row>
    <row r="34" spans="3:8" x14ac:dyDescent="0.25">
      <c r="C34" s="31">
        <v>30</v>
      </c>
      <c r="D34" s="37">
        <v>39</v>
      </c>
      <c r="E34" s="39">
        <f t="shared" si="0"/>
        <v>0.76923076923076927</v>
      </c>
      <c r="F34" s="39">
        <f t="shared" si="1"/>
        <v>1.3865042353700916</v>
      </c>
      <c r="G34" s="39">
        <f t="shared" si="2"/>
        <v>0.77884164241309994</v>
      </c>
      <c r="H34" s="39">
        <f t="shared" si="3"/>
        <v>9.6108731823306703E-3</v>
      </c>
    </row>
    <row r="35" spans="3:8" x14ac:dyDescent="0.25">
      <c r="C35" s="31">
        <v>31</v>
      </c>
      <c r="D35" s="37">
        <v>39.700000000000003</v>
      </c>
      <c r="E35" s="39">
        <f t="shared" si="0"/>
        <v>0.79487179487179482</v>
      </c>
      <c r="F35" s="39">
        <f t="shared" si="1"/>
        <v>1.4811721890237615</v>
      </c>
      <c r="G35" s="39">
        <f t="shared" si="2"/>
        <v>0.79662517130187316</v>
      </c>
      <c r="H35" s="39">
        <f t="shared" si="3"/>
        <v>1.753376430078335E-3</v>
      </c>
    </row>
    <row r="36" spans="3:8" x14ac:dyDescent="0.25">
      <c r="C36" s="28">
        <v>32</v>
      </c>
      <c r="D36" s="37">
        <v>40.4</v>
      </c>
      <c r="E36" s="39">
        <f t="shared" si="0"/>
        <v>0.82051282051282048</v>
      </c>
      <c r="F36" s="39">
        <f t="shared" si="1"/>
        <v>1.5758401426774304</v>
      </c>
      <c r="G36" s="39">
        <f t="shared" si="2"/>
        <v>0.8131548583983037</v>
      </c>
      <c r="H36" s="39">
        <f t="shared" si="3"/>
        <v>7.3579621145167806E-3</v>
      </c>
    </row>
    <row r="37" spans="3:8" x14ac:dyDescent="0.25">
      <c r="C37" s="31">
        <v>33</v>
      </c>
      <c r="D37" s="37">
        <v>43.2</v>
      </c>
      <c r="E37" s="39">
        <f t="shared" si="0"/>
        <v>0.84615384615384615</v>
      </c>
      <c r="F37" s="39">
        <f t="shared" si="1"/>
        <v>1.9545119572921092</v>
      </c>
      <c r="G37" s="39">
        <f t="shared" si="2"/>
        <v>0.86793922585707017</v>
      </c>
      <c r="H37" s="39">
        <f t="shared" si="3"/>
        <v>2.1785379703224028E-2</v>
      </c>
    </row>
    <row r="38" spans="3:8" x14ac:dyDescent="0.25">
      <c r="C38" s="31">
        <v>34</v>
      </c>
      <c r="D38" s="37">
        <v>43.4</v>
      </c>
      <c r="E38" s="39">
        <f t="shared" si="0"/>
        <v>0.87179487179487181</v>
      </c>
      <c r="F38" s="39">
        <f t="shared" si="1"/>
        <v>1.9815599440503</v>
      </c>
      <c r="G38" s="39">
        <f t="shared" si="2"/>
        <v>0.87122585972071265</v>
      </c>
      <c r="H38" s="39">
        <f t="shared" si="3"/>
        <v>5.6901207415915867E-4</v>
      </c>
    </row>
    <row r="39" spans="3:8" x14ac:dyDescent="0.25">
      <c r="C39" s="28">
        <v>35</v>
      </c>
      <c r="D39" s="37">
        <v>44.6</v>
      </c>
      <c r="E39" s="39">
        <f t="shared" si="0"/>
        <v>0.89743589743589747</v>
      </c>
      <c r="F39" s="39">
        <f t="shared" si="1"/>
        <v>2.1438478645994481</v>
      </c>
      <c r="G39" s="39">
        <f t="shared" si="2"/>
        <v>0.88940463192083186</v>
      </c>
      <c r="H39" s="39">
        <f t="shared" si="3"/>
        <v>8.0312655150656109E-3</v>
      </c>
    </row>
    <row r="40" spans="3:8" x14ac:dyDescent="0.25">
      <c r="C40" s="31">
        <v>36</v>
      </c>
      <c r="D40" s="37">
        <v>47.4</v>
      </c>
      <c r="E40" s="39">
        <f t="shared" si="0"/>
        <v>0.92307692307692313</v>
      </c>
      <c r="F40" s="39">
        <f t="shared" si="1"/>
        <v>2.5225196792141258</v>
      </c>
      <c r="G40" s="39">
        <f t="shared" si="2"/>
        <v>0.92287901641247183</v>
      </c>
      <c r="H40" s="39">
        <f t="shared" si="3"/>
        <v>1.9790666445129723E-4</v>
      </c>
    </row>
    <row r="41" spans="3:8" x14ac:dyDescent="0.25">
      <c r="C41" s="31">
        <v>37</v>
      </c>
      <c r="D41" s="37">
        <v>51.5</v>
      </c>
      <c r="E41" s="39">
        <f t="shared" si="0"/>
        <v>0.94871794871794868</v>
      </c>
      <c r="F41" s="39">
        <f t="shared" si="1"/>
        <v>3.0770034077570476</v>
      </c>
      <c r="G41" s="39">
        <f t="shared" si="2"/>
        <v>0.95494915156418958</v>
      </c>
      <c r="H41" s="39">
        <f t="shared" si="3"/>
        <v>6.2312028462409019E-3</v>
      </c>
    </row>
    <row r="42" spans="3:8" x14ac:dyDescent="0.25">
      <c r="C42" s="28">
        <v>38</v>
      </c>
      <c r="D42" s="37">
        <v>67.3</v>
      </c>
      <c r="E42" s="39">
        <f t="shared" si="0"/>
        <v>0.97435897435897434</v>
      </c>
      <c r="F42" s="39">
        <f t="shared" si="1"/>
        <v>5.21379436165416</v>
      </c>
      <c r="G42" s="39">
        <f t="shared" si="2"/>
        <v>0.99457378598396706</v>
      </c>
      <c r="H42" s="39">
        <f t="shared" si="3"/>
        <v>2.0214811624992723E-2</v>
      </c>
    </row>
    <row r="47" spans="3:8" x14ac:dyDescent="0.25">
      <c r="C47" s="2" t="s">
        <v>76</v>
      </c>
    </row>
    <row r="49" spans="3:12" x14ac:dyDescent="0.25">
      <c r="C49" s="30" t="s">
        <v>43</v>
      </c>
      <c r="D49" s="30" t="s">
        <v>14</v>
      </c>
      <c r="E49" s="30" t="s">
        <v>69</v>
      </c>
      <c r="F49" s="30" t="s">
        <v>70</v>
      </c>
      <c r="G49" s="32" t="s">
        <v>71</v>
      </c>
      <c r="H49" s="32" t="s">
        <v>72</v>
      </c>
    </row>
    <row r="50" spans="3:12" x14ac:dyDescent="0.25">
      <c r="C50" s="31">
        <v>1</v>
      </c>
      <c r="D50" s="1">
        <v>13.1</v>
      </c>
      <c r="E50" s="39">
        <f>C50/($C$68+1)</f>
        <v>0.05</v>
      </c>
      <c r="F50" s="39">
        <f>(D50-$L$51)/$L$50</f>
        <v>-1.9119509352316735</v>
      </c>
      <c r="G50" s="39">
        <f>EXP(-EXP(-F50))</f>
        <v>1.1519760609136494E-3</v>
      </c>
      <c r="H50" s="39">
        <f>ABS(E50-G50)</f>
        <v>4.8848023939086355E-2</v>
      </c>
      <c r="K50" s="6" t="s">
        <v>12</v>
      </c>
      <c r="L50" s="5">
        <f>'Precipitaciones máximas'!K51</f>
        <v>6.2798839259273533</v>
      </c>
    </row>
    <row r="51" spans="3:12" x14ac:dyDescent="0.25">
      <c r="C51" s="31">
        <v>2</v>
      </c>
      <c r="D51" s="1">
        <v>19.2</v>
      </c>
      <c r="E51" s="39">
        <f t="shared" ref="E51:E68" si="4">C51/($C$68+1)</f>
        <v>0.1</v>
      </c>
      <c r="F51" s="39">
        <f t="shared" ref="F51:F68" si="5">(D51-$L$51)/$L$50</f>
        <v>-0.94059540192072777</v>
      </c>
      <c r="G51" s="39">
        <f t="shared" ref="G51:G68" si="6">EXP(-EXP(-F51))</f>
        <v>7.7188400175590297E-2</v>
      </c>
      <c r="H51" s="39">
        <f t="shared" ref="H51:H68" si="7">ABS(E51-G51)</f>
        <v>2.2811599824409709E-2</v>
      </c>
      <c r="K51" s="31" t="s">
        <v>13</v>
      </c>
      <c r="L51" s="5">
        <f>'Precipitaciones máximas'!K52</f>
        <v>25.106829945323156</v>
      </c>
    </row>
    <row r="52" spans="3:12" x14ac:dyDescent="0.25">
      <c r="C52" s="31">
        <v>3</v>
      </c>
      <c r="D52" s="1">
        <v>21.4</v>
      </c>
      <c r="E52" s="39">
        <f t="shared" si="4"/>
        <v>0.15</v>
      </c>
      <c r="F52" s="39">
        <f t="shared" si="5"/>
        <v>-0.59027045548071466</v>
      </c>
      <c r="G52" s="39">
        <f t="shared" si="6"/>
        <v>0.1645606012543194</v>
      </c>
      <c r="H52" s="39">
        <f t="shared" si="7"/>
        <v>1.4560601254319405E-2</v>
      </c>
    </row>
    <row r="53" spans="3:12" x14ac:dyDescent="0.25">
      <c r="C53" s="31">
        <v>4</v>
      </c>
      <c r="D53" s="1">
        <v>22.6</v>
      </c>
      <c r="E53" s="39">
        <f t="shared" si="4"/>
        <v>0.2</v>
      </c>
      <c r="F53" s="39">
        <f t="shared" si="5"/>
        <v>-0.39918412105888884</v>
      </c>
      <c r="G53" s="39">
        <f t="shared" si="6"/>
        <v>0.22523566032498557</v>
      </c>
      <c r="H53" s="39">
        <f t="shared" si="7"/>
        <v>2.5235660324985559E-2</v>
      </c>
    </row>
    <row r="54" spans="3:12" x14ac:dyDescent="0.25">
      <c r="C54" s="31">
        <v>5</v>
      </c>
      <c r="D54" s="1">
        <v>23.7</v>
      </c>
      <c r="E54" s="39">
        <f t="shared" si="4"/>
        <v>0.25</v>
      </c>
      <c r="F54" s="39">
        <f t="shared" si="5"/>
        <v>-0.22402164783888256</v>
      </c>
      <c r="G54" s="39">
        <f t="shared" si="6"/>
        <v>0.28619035784242181</v>
      </c>
      <c r="H54" s="39">
        <f t="shared" si="7"/>
        <v>3.6190357842421805E-2</v>
      </c>
    </row>
    <row r="55" spans="3:12" x14ac:dyDescent="0.25">
      <c r="C55" s="31">
        <v>6</v>
      </c>
      <c r="D55" s="1">
        <v>24</v>
      </c>
      <c r="E55" s="39">
        <f t="shared" si="4"/>
        <v>0.3</v>
      </c>
      <c r="F55" s="39">
        <f t="shared" si="5"/>
        <v>-0.1762500642334261</v>
      </c>
      <c r="G55" s="39">
        <f t="shared" si="6"/>
        <v>0.30338996673458862</v>
      </c>
      <c r="H55" s="39">
        <f t="shared" si="7"/>
        <v>3.3899667345886342E-3</v>
      </c>
      <c r="K55" s="31" t="s">
        <v>73</v>
      </c>
      <c r="L55" s="39">
        <f>MAX(H50:H68)</f>
        <v>9.4757824701404036E-2</v>
      </c>
    </row>
    <row r="56" spans="3:12" x14ac:dyDescent="0.25">
      <c r="C56" s="31">
        <v>7</v>
      </c>
      <c r="D56" s="1">
        <v>24</v>
      </c>
      <c r="E56" s="39">
        <f t="shared" si="4"/>
        <v>0.35</v>
      </c>
      <c r="F56" s="39">
        <f t="shared" si="5"/>
        <v>-0.1762500642334261</v>
      </c>
      <c r="G56" s="39">
        <f t="shared" si="6"/>
        <v>0.30338996673458862</v>
      </c>
      <c r="H56" s="39">
        <f t="shared" si="7"/>
        <v>4.6610033265411355E-2</v>
      </c>
      <c r="K56" s="31" t="s">
        <v>74</v>
      </c>
      <c r="L56" s="31">
        <v>0.215</v>
      </c>
    </row>
    <row r="57" spans="3:12" x14ac:dyDescent="0.25">
      <c r="C57" s="31">
        <v>8</v>
      </c>
      <c r="D57" s="1">
        <v>25.6</v>
      </c>
      <c r="E57" s="39">
        <f t="shared" si="4"/>
        <v>0.4</v>
      </c>
      <c r="F57" s="39">
        <f t="shared" si="5"/>
        <v>7.8531714995674656E-2</v>
      </c>
      <c r="G57" s="39">
        <f t="shared" si="6"/>
        <v>0.39674054943152504</v>
      </c>
      <c r="H57" s="39">
        <f t="shared" si="7"/>
        <v>3.2594505684749864E-3</v>
      </c>
    </row>
    <row r="58" spans="3:12" x14ac:dyDescent="0.25">
      <c r="C58" s="31">
        <v>9</v>
      </c>
      <c r="D58" s="1">
        <v>26.4</v>
      </c>
      <c r="E58" s="39">
        <f t="shared" si="4"/>
        <v>0.45</v>
      </c>
      <c r="F58" s="39">
        <f t="shared" si="5"/>
        <v>0.20592260461022446</v>
      </c>
      <c r="G58" s="39">
        <f t="shared" si="6"/>
        <v>0.44312824193525752</v>
      </c>
      <c r="H58" s="39">
        <f t="shared" si="7"/>
        <v>6.8717580647424947E-3</v>
      </c>
      <c r="K58" s="40" t="s">
        <v>77</v>
      </c>
      <c r="L58" s="41" t="str">
        <f>IF(L55&lt;L56,"Adecuado","Erróneo")</f>
        <v>Adecuado</v>
      </c>
    </row>
    <row r="59" spans="3:12" x14ac:dyDescent="0.25">
      <c r="C59" s="31">
        <v>10</v>
      </c>
      <c r="D59" s="1">
        <v>26.8</v>
      </c>
      <c r="E59" s="39">
        <f t="shared" si="4"/>
        <v>0.5</v>
      </c>
      <c r="F59" s="39">
        <f t="shared" si="5"/>
        <v>0.26961804941749995</v>
      </c>
      <c r="G59" s="39">
        <f t="shared" si="6"/>
        <v>0.46595271345873951</v>
      </c>
      <c r="H59" s="39">
        <f t="shared" si="7"/>
        <v>3.4047286541260491E-2</v>
      </c>
    </row>
    <row r="60" spans="3:12" x14ac:dyDescent="0.25">
      <c r="C60" s="31">
        <v>11</v>
      </c>
      <c r="D60" s="1">
        <v>27.8</v>
      </c>
      <c r="E60" s="39">
        <f t="shared" si="4"/>
        <v>0.55000000000000004</v>
      </c>
      <c r="F60" s="39">
        <f t="shared" si="5"/>
        <v>0.42885666143568779</v>
      </c>
      <c r="G60" s="39">
        <f t="shared" si="6"/>
        <v>0.52139192111696353</v>
      </c>
      <c r="H60" s="39">
        <f t="shared" si="7"/>
        <v>2.8608078883036514E-2</v>
      </c>
    </row>
    <row r="61" spans="3:12" x14ac:dyDescent="0.25">
      <c r="C61" s="31">
        <v>12</v>
      </c>
      <c r="D61" s="1">
        <v>29.2</v>
      </c>
      <c r="E61" s="39">
        <f t="shared" si="4"/>
        <v>0.6</v>
      </c>
      <c r="F61" s="39">
        <f t="shared" si="5"/>
        <v>0.65179071826115054</v>
      </c>
      <c r="G61" s="39">
        <f t="shared" si="6"/>
        <v>0.59385994136447207</v>
      </c>
      <c r="H61" s="39">
        <f t="shared" si="7"/>
        <v>6.1400586355279119E-3</v>
      </c>
    </row>
    <row r="62" spans="3:12" x14ac:dyDescent="0.25">
      <c r="C62" s="31">
        <v>13</v>
      </c>
      <c r="D62" s="1">
        <v>30.6</v>
      </c>
      <c r="E62" s="39">
        <f t="shared" si="4"/>
        <v>0.65</v>
      </c>
      <c r="F62" s="39">
        <f t="shared" si="5"/>
        <v>0.87472477508661384</v>
      </c>
      <c r="G62" s="39">
        <f t="shared" si="6"/>
        <v>0.65903623162846336</v>
      </c>
      <c r="H62" s="39">
        <f t="shared" si="7"/>
        <v>9.0362316284633426E-3</v>
      </c>
    </row>
    <row r="63" spans="3:12" x14ac:dyDescent="0.25">
      <c r="C63" s="31">
        <v>14</v>
      </c>
      <c r="D63" s="1">
        <v>33.200000000000003</v>
      </c>
      <c r="E63" s="39">
        <f t="shared" si="4"/>
        <v>0.7</v>
      </c>
      <c r="F63" s="39">
        <f t="shared" si="5"/>
        <v>1.2887451663339025</v>
      </c>
      <c r="G63" s="39">
        <f t="shared" si="6"/>
        <v>0.7591040528543318</v>
      </c>
      <c r="H63" s="39">
        <f t="shared" si="7"/>
        <v>5.9104052854331846E-2</v>
      </c>
    </row>
    <row r="64" spans="3:12" x14ac:dyDescent="0.25">
      <c r="C64" s="31">
        <v>15</v>
      </c>
      <c r="D64" s="1">
        <v>35.299999999999997</v>
      </c>
      <c r="E64" s="39">
        <f t="shared" si="4"/>
        <v>0.75</v>
      </c>
      <c r="F64" s="39">
        <f t="shared" si="5"/>
        <v>1.6231462515720958</v>
      </c>
      <c r="G64" s="39">
        <f t="shared" si="6"/>
        <v>0.82096316343982834</v>
      </c>
      <c r="H64" s="39">
        <f t="shared" si="7"/>
        <v>7.0963163439828336E-2</v>
      </c>
    </row>
    <row r="65" spans="3:8" x14ac:dyDescent="0.25">
      <c r="C65" s="31">
        <v>16</v>
      </c>
      <c r="D65" s="1">
        <v>38.9</v>
      </c>
      <c r="E65" s="39">
        <f t="shared" si="4"/>
        <v>0.8</v>
      </c>
      <c r="F65" s="39">
        <f t="shared" si="5"/>
        <v>2.1964052548375723</v>
      </c>
      <c r="G65" s="39">
        <f t="shared" si="6"/>
        <v>0.89475782470140408</v>
      </c>
      <c r="H65" s="39">
        <f t="shared" si="7"/>
        <v>9.4757824701404036E-2</v>
      </c>
    </row>
    <row r="66" spans="3:8" x14ac:dyDescent="0.25">
      <c r="C66" s="31">
        <v>17</v>
      </c>
      <c r="D66" s="1">
        <v>40.200000000000003</v>
      </c>
      <c r="E66" s="39">
        <f t="shared" si="4"/>
        <v>0.85</v>
      </c>
      <c r="F66" s="39">
        <f t="shared" si="5"/>
        <v>2.4034154504612171</v>
      </c>
      <c r="G66" s="39">
        <f t="shared" si="6"/>
        <v>0.91355779351567357</v>
      </c>
      <c r="H66" s="39">
        <f t="shared" si="7"/>
        <v>6.3557793515673588E-2</v>
      </c>
    </row>
    <row r="67" spans="3:8" x14ac:dyDescent="0.25">
      <c r="C67" s="31">
        <v>18</v>
      </c>
      <c r="D67" s="1">
        <v>41.9</v>
      </c>
      <c r="E67" s="39">
        <f t="shared" si="4"/>
        <v>0.9</v>
      </c>
      <c r="F67" s="39">
        <f t="shared" si="5"/>
        <v>2.6741210908921356</v>
      </c>
      <c r="G67" s="39">
        <f t="shared" si="6"/>
        <v>0.93335709035776737</v>
      </c>
      <c r="H67" s="39">
        <f t="shared" si="7"/>
        <v>3.3357090357767349E-2</v>
      </c>
    </row>
    <row r="68" spans="3:8" x14ac:dyDescent="0.25">
      <c r="C68" s="31">
        <v>19</v>
      </c>
      <c r="D68" s="1">
        <v>42</v>
      </c>
      <c r="E68" s="39">
        <f t="shared" si="4"/>
        <v>0.95</v>
      </c>
      <c r="F68" s="39">
        <f t="shared" si="5"/>
        <v>2.6900449520939547</v>
      </c>
      <c r="G68" s="39">
        <f t="shared" si="6"/>
        <v>0.93437456491128523</v>
      </c>
      <c r="H68" s="39">
        <f t="shared" si="7"/>
        <v>1.5625435088714723E-2</v>
      </c>
    </row>
  </sheetData>
  <sortState ref="C50:H68">
    <sortCondition ref="D50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126"/>
  <sheetViews>
    <sheetView zoomScale="80" zoomScaleNormal="80" workbookViewId="0">
      <selection activeCell="B92" sqref="B92"/>
    </sheetView>
  </sheetViews>
  <sheetFormatPr baseColWidth="10" defaultRowHeight="15" x14ac:dyDescent="0.25"/>
  <cols>
    <col min="2" max="2" width="28" bestFit="1" customWidth="1"/>
    <col min="3" max="3" width="8.85546875" customWidth="1"/>
    <col min="5" max="5" width="9.85546875" customWidth="1"/>
    <col min="6" max="6" width="10.7109375" customWidth="1"/>
    <col min="7" max="7" width="11.28515625" customWidth="1"/>
    <col min="8" max="8" width="9.85546875" customWidth="1"/>
    <col min="9" max="9" width="12" customWidth="1"/>
    <col min="10" max="11" width="11.42578125" customWidth="1"/>
    <col min="12" max="12" width="12.42578125" customWidth="1"/>
    <col min="13" max="13" width="11.42578125" customWidth="1"/>
    <col min="14" max="14" width="9.7109375" customWidth="1"/>
    <col min="15" max="15" width="9.5703125" customWidth="1"/>
    <col min="16" max="16" width="9.42578125" customWidth="1"/>
    <col min="17" max="17" width="10.5703125" customWidth="1"/>
    <col min="18" max="19" width="11.42578125" customWidth="1"/>
    <col min="20" max="20" width="11" customWidth="1"/>
    <col min="21" max="23" width="11.42578125" customWidth="1"/>
    <col min="26" max="26" width="11.42578125" style="56"/>
  </cols>
  <sheetData>
    <row r="2" spans="2:29" x14ac:dyDescent="0.25">
      <c r="T2" s="222" t="s">
        <v>47</v>
      </c>
      <c r="U2" s="223"/>
    </row>
    <row r="3" spans="2:29" x14ac:dyDescent="0.25">
      <c r="B3">
        <v>1</v>
      </c>
      <c r="C3" s="16" t="s">
        <v>7</v>
      </c>
      <c r="D3" s="214" t="s">
        <v>8</v>
      </c>
      <c r="E3" s="214"/>
      <c r="F3" s="214" t="s">
        <v>9</v>
      </c>
      <c r="G3" s="214"/>
      <c r="H3" s="214"/>
      <c r="I3" s="33"/>
      <c r="K3" s="16" t="s">
        <v>28</v>
      </c>
      <c r="L3" s="16" t="s">
        <v>27</v>
      </c>
      <c r="M3" s="214" t="s">
        <v>8</v>
      </c>
      <c r="N3" s="214"/>
      <c r="O3" s="214" t="s">
        <v>9</v>
      </c>
      <c r="P3" s="214"/>
      <c r="Q3" s="214"/>
      <c r="T3" s="15">
        <v>1</v>
      </c>
      <c r="U3" s="5">
        <f>(AVERAGE('Precipitaciones máximas'!K32,'Precipitaciones máximas'!K47))/24</f>
        <v>2.0331642762478279</v>
      </c>
      <c r="X3" s="81" t="s">
        <v>157</v>
      </c>
      <c r="Y3" s="82"/>
      <c r="Z3" s="83"/>
    </row>
    <row r="4" spans="2:29" x14ac:dyDescent="0.25">
      <c r="C4" s="212">
        <v>9</v>
      </c>
      <c r="D4" s="213" t="s">
        <v>22</v>
      </c>
      <c r="E4" s="213"/>
      <c r="F4" s="213" t="s">
        <v>19</v>
      </c>
      <c r="G4" s="213"/>
      <c r="H4" s="213"/>
      <c r="I4" s="36"/>
      <c r="J4">
        <v>3</v>
      </c>
      <c r="K4" s="215" t="s">
        <v>29</v>
      </c>
      <c r="L4" s="212" t="s">
        <v>17</v>
      </c>
      <c r="M4" s="213" t="s">
        <v>30</v>
      </c>
      <c r="N4" s="213"/>
      <c r="O4" s="213" t="s">
        <v>32</v>
      </c>
      <c r="P4" s="213"/>
      <c r="Q4" s="213"/>
      <c r="T4" s="15">
        <v>2</v>
      </c>
      <c r="U4" s="5">
        <f>(AVERAGE('Precipitaciones máximas'!K32,'Precipitaciones máximas'!K47))/24</f>
        <v>2.0331642762478279</v>
      </c>
      <c r="X4" s="84" t="s">
        <v>158</v>
      </c>
      <c r="Y4" s="85"/>
      <c r="Z4" s="86"/>
    </row>
    <row r="5" spans="2:29" x14ac:dyDescent="0.25">
      <c r="C5" s="212"/>
      <c r="D5" s="213" t="s">
        <v>21</v>
      </c>
      <c r="E5" s="213"/>
      <c r="F5" s="213" t="s">
        <v>20</v>
      </c>
      <c r="G5" s="213"/>
      <c r="H5" s="213"/>
      <c r="I5" s="36"/>
      <c r="K5" s="216"/>
      <c r="L5" s="212"/>
      <c r="M5" s="213" t="s">
        <v>31</v>
      </c>
      <c r="N5" s="213"/>
      <c r="O5" s="213" t="s">
        <v>33</v>
      </c>
      <c r="P5" s="213"/>
      <c r="Q5" s="213"/>
      <c r="T5" s="15">
        <v>3</v>
      </c>
      <c r="U5" s="113">
        <f>'Precipitaciones máximas'!K47/24</f>
        <v>1.8830522433459145</v>
      </c>
    </row>
    <row r="6" spans="2:29" x14ac:dyDescent="0.25">
      <c r="T6" s="15">
        <v>4</v>
      </c>
      <c r="U6" s="113">
        <f>'Precipitaciones máximas'!K32/24</f>
        <v>2.1832763091497411</v>
      </c>
    </row>
    <row r="7" spans="2:29" x14ac:dyDescent="0.25">
      <c r="B7">
        <v>2</v>
      </c>
      <c r="C7" s="16" t="s">
        <v>7</v>
      </c>
      <c r="D7" s="214" t="s">
        <v>8</v>
      </c>
      <c r="E7" s="214"/>
      <c r="F7" s="214" t="s">
        <v>9</v>
      </c>
      <c r="G7" s="214"/>
      <c r="H7" s="214"/>
      <c r="I7" s="33"/>
      <c r="K7" s="16" t="s">
        <v>28</v>
      </c>
      <c r="L7" s="16" t="s">
        <v>27</v>
      </c>
      <c r="M7" s="214" t="s">
        <v>8</v>
      </c>
      <c r="N7" s="214"/>
      <c r="O7" s="214" t="s">
        <v>9</v>
      </c>
      <c r="P7" s="214"/>
      <c r="Q7" s="214"/>
    </row>
    <row r="8" spans="2:29" x14ac:dyDescent="0.25">
      <c r="C8" s="212">
        <v>11</v>
      </c>
      <c r="D8" s="213" t="s">
        <v>39</v>
      </c>
      <c r="E8" s="213"/>
      <c r="F8" s="213" t="s">
        <v>41</v>
      </c>
      <c r="G8" s="213"/>
      <c r="H8" s="213"/>
      <c r="I8" s="36"/>
      <c r="J8">
        <v>4</v>
      </c>
      <c r="K8" s="215" t="s">
        <v>34</v>
      </c>
      <c r="L8" s="212" t="s">
        <v>16</v>
      </c>
      <c r="M8" s="213" t="s">
        <v>35</v>
      </c>
      <c r="N8" s="213"/>
      <c r="O8" s="213" t="s">
        <v>37</v>
      </c>
      <c r="P8" s="213"/>
      <c r="Q8" s="213"/>
    </row>
    <row r="9" spans="2:29" x14ac:dyDescent="0.25">
      <c r="C9" s="212"/>
      <c r="D9" s="213" t="s">
        <v>40</v>
      </c>
      <c r="E9" s="213"/>
      <c r="F9" s="213" t="s">
        <v>42</v>
      </c>
      <c r="G9" s="213"/>
      <c r="H9" s="213"/>
      <c r="I9" s="36"/>
      <c r="K9" s="216"/>
      <c r="L9" s="212"/>
      <c r="M9" s="213" t="s">
        <v>36</v>
      </c>
      <c r="N9" s="213"/>
      <c r="O9" s="213" t="s">
        <v>38</v>
      </c>
      <c r="P9" s="213"/>
      <c r="Q9" s="213"/>
    </row>
    <row r="13" spans="2:29" x14ac:dyDescent="0.25">
      <c r="J13" s="220" t="s">
        <v>67</v>
      </c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</row>
    <row r="14" spans="2:29" x14ac:dyDescent="0.25">
      <c r="B14" s="217" t="s">
        <v>82</v>
      </c>
      <c r="E14" s="221" t="s">
        <v>43</v>
      </c>
      <c r="F14" s="217" t="s">
        <v>44</v>
      </c>
      <c r="G14" s="222" t="s">
        <v>86</v>
      </c>
      <c r="H14" s="223"/>
      <c r="I14" s="217" t="s">
        <v>62</v>
      </c>
      <c r="J14" s="22" t="s">
        <v>63</v>
      </c>
      <c r="K14" s="225" t="s">
        <v>48</v>
      </c>
      <c r="L14" s="225"/>
      <c r="M14" s="225"/>
      <c r="N14" s="226" t="s">
        <v>68</v>
      </c>
      <c r="O14" s="226"/>
      <c r="P14" s="222" t="s">
        <v>46</v>
      </c>
      <c r="Q14" s="224"/>
      <c r="R14" s="224"/>
      <c r="S14" s="223"/>
      <c r="V14" s="219" t="s">
        <v>56</v>
      </c>
      <c r="W14" s="219"/>
      <c r="X14" s="219"/>
      <c r="Y14" s="219"/>
      <c r="Z14" s="55" t="s">
        <v>104</v>
      </c>
    </row>
    <row r="15" spans="2:29" x14ac:dyDescent="0.25">
      <c r="B15" s="218"/>
      <c r="E15" s="221"/>
      <c r="F15" s="218"/>
      <c r="G15" s="16" t="s">
        <v>65</v>
      </c>
      <c r="H15" s="16" t="s">
        <v>66</v>
      </c>
      <c r="I15" s="218"/>
      <c r="J15" s="23" t="s">
        <v>64</v>
      </c>
      <c r="K15" s="23" t="s">
        <v>50</v>
      </c>
      <c r="L15" s="23" t="s">
        <v>49</v>
      </c>
      <c r="M15" s="10" t="s">
        <v>51</v>
      </c>
      <c r="N15" s="22" t="s">
        <v>53</v>
      </c>
      <c r="O15" s="22" t="s">
        <v>52</v>
      </c>
      <c r="P15" s="16">
        <v>1</v>
      </c>
      <c r="Q15" s="16">
        <v>2</v>
      </c>
      <c r="R15" s="16">
        <v>3</v>
      </c>
      <c r="S15" s="10">
        <v>4</v>
      </c>
      <c r="T15" s="18" t="s">
        <v>54</v>
      </c>
      <c r="U15" s="18" t="s">
        <v>55</v>
      </c>
      <c r="V15" s="29">
        <v>1</v>
      </c>
      <c r="W15" s="29">
        <v>2</v>
      </c>
      <c r="X15" s="29">
        <v>3</v>
      </c>
      <c r="Y15" s="29">
        <v>4</v>
      </c>
      <c r="Z15" s="55" t="s">
        <v>58</v>
      </c>
      <c r="AC15" t="s">
        <v>164</v>
      </c>
    </row>
    <row r="16" spans="2:29" x14ac:dyDescent="0.25">
      <c r="B16" s="150" t="s">
        <v>78</v>
      </c>
      <c r="E16" s="15">
        <v>1</v>
      </c>
      <c r="F16" s="24">
        <v>118.5</v>
      </c>
      <c r="G16" s="39">
        <v>6.2700000000000006E-2</v>
      </c>
      <c r="H16" s="1">
        <f>G16*100</f>
        <v>6.2700000000000005</v>
      </c>
      <c r="I16" s="17" t="str">
        <f>IF(G16&lt;=1.6,"Racional","SCS")</f>
        <v>Racional</v>
      </c>
      <c r="J16" s="1">
        <v>609.70000000000005</v>
      </c>
      <c r="K16" s="77">
        <v>3690</v>
      </c>
      <c r="L16" s="27">
        <v>3551</v>
      </c>
      <c r="M16" s="15">
        <f>K16-L16</f>
        <v>139</v>
      </c>
      <c r="N16" s="5">
        <f>0.0195*(((J16^3)/M16)^0.385)</f>
        <v>4.8059928296137508</v>
      </c>
      <c r="O16" s="5">
        <f>IF(N16&lt;5,5,N16)</f>
        <v>5</v>
      </c>
      <c r="P16" s="49">
        <f>40.053*(O16^-0.341)*$U$3</f>
        <v>47.039072454260264</v>
      </c>
      <c r="Q16" s="49">
        <f>137.27*(O16^-0.341)*$U$4</f>
        <v>161.21273002762106</v>
      </c>
      <c r="R16" s="49">
        <f>121.82*(O16^-0.4903)*$U$5</f>
        <v>104.20197999105746</v>
      </c>
      <c r="S16" s="49">
        <f>177.26*(O16^-0.5938)*$U$6</f>
        <v>148.8233439677648</v>
      </c>
      <c r="T16" s="50">
        <v>19</v>
      </c>
      <c r="U16" s="5">
        <v>0.5</v>
      </c>
      <c r="V16" s="5">
        <f>U16*P16*H16/360</f>
        <v>0.40963192262251646</v>
      </c>
      <c r="W16" s="5">
        <f>U16*Q16*H16/360</f>
        <v>1.4038941906572002</v>
      </c>
      <c r="X16" s="5">
        <f>U16*R16*H16/360</f>
        <v>0.90742557575545879</v>
      </c>
      <c r="Y16" s="5">
        <f>U16*S16*H16/360</f>
        <v>1.2960032870526186</v>
      </c>
      <c r="Z16" s="78">
        <f>Y16</f>
        <v>1.2960032870526186</v>
      </c>
      <c r="AB16" t="str">
        <f>IF(Z16&gt;2.5,"0bligada","control")</f>
        <v>control</v>
      </c>
      <c r="AC16" s="97">
        <f>Z16*1000</f>
        <v>1296.0032870526186</v>
      </c>
    </row>
    <row r="17" spans="2:29" x14ac:dyDescent="0.25">
      <c r="B17" s="150" t="s">
        <v>78</v>
      </c>
      <c r="E17" s="15">
        <v>2</v>
      </c>
      <c r="F17" s="24">
        <v>250</v>
      </c>
      <c r="G17" s="39">
        <v>0.1002</v>
      </c>
      <c r="H17" s="1">
        <f t="shared" ref="H17:H85" si="0">G17*100</f>
        <v>10.02</v>
      </c>
      <c r="I17" s="17" t="str">
        <f t="shared" ref="I17:I85" si="1">IF(G17&lt;=1.6,"Racional","SCS")</f>
        <v>Racional</v>
      </c>
      <c r="J17" s="1">
        <v>604.4</v>
      </c>
      <c r="K17" s="77">
        <v>3690</v>
      </c>
      <c r="L17" s="27">
        <v>3552</v>
      </c>
      <c r="M17" s="17">
        <f t="shared" ref="M17:M85" si="2">K17-L17</f>
        <v>138</v>
      </c>
      <c r="N17" s="5">
        <f t="shared" ref="N17:N85" si="3">0.0195*(((J17^3)/M17)^0.385)</f>
        <v>4.7710163997607014</v>
      </c>
      <c r="O17" s="5">
        <f t="shared" ref="O17:O85" si="4">IF(N17&lt;5,5,N17)</f>
        <v>5</v>
      </c>
      <c r="P17" s="49">
        <f t="shared" ref="P17:P85" si="5">40.053*(O17^-0.341)*$U$3</f>
        <v>47.039072454260264</v>
      </c>
      <c r="Q17" s="49">
        <f t="shared" ref="Q17:Q85" si="6">137.27*(O17^-0.341)*$U$4</f>
        <v>161.21273002762106</v>
      </c>
      <c r="R17" s="49">
        <f t="shared" ref="R17:R85" si="7">121.82*(O17^-0.4903)*$U$5</f>
        <v>104.20197999105746</v>
      </c>
      <c r="S17" s="49">
        <f t="shared" ref="S17:S85" si="8">177.26*(O17^-0.5938)*$U$6</f>
        <v>148.8233439677648</v>
      </c>
      <c r="T17" s="50">
        <v>19</v>
      </c>
      <c r="U17" s="5">
        <v>0.5</v>
      </c>
      <c r="V17" s="5">
        <f t="shared" ref="V17:V85" si="9">U17*P17*H17/360</f>
        <v>0.65462709165512201</v>
      </c>
      <c r="W17" s="5">
        <f t="shared" ref="W17:W85" si="10">U17*Q17*H17/360</f>
        <v>2.2435438262177265</v>
      </c>
      <c r="X17" s="5">
        <f t="shared" ref="X17:X85" si="11">U17*R17*H17/360</f>
        <v>1.450144221542216</v>
      </c>
      <c r="Y17" s="5">
        <f t="shared" ref="Y17:Y85" si="12">U17*S17*H17/360</f>
        <v>2.07112487021806</v>
      </c>
      <c r="Z17" s="78">
        <f t="shared" ref="Z17:Z50" si="13">Y17</f>
        <v>2.07112487021806</v>
      </c>
      <c r="AB17" t="str">
        <f t="shared" ref="AB17:AB81" si="14">IF(Z17&gt;2.5,"0bligada","control")</f>
        <v>control</v>
      </c>
      <c r="AC17" s="97">
        <f t="shared" ref="AC17:AC80" si="15">Z17*1000</f>
        <v>2071.1248702180601</v>
      </c>
    </row>
    <row r="18" spans="2:29" x14ac:dyDescent="0.25">
      <c r="B18" s="150" t="s">
        <v>162</v>
      </c>
      <c r="E18" s="15">
        <v>3</v>
      </c>
      <c r="F18" s="24">
        <v>436.2</v>
      </c>
      <c r="G18" s="39">
        <v>8.8599999999999998E-2</v>
      </c>
      <c r="H18" s="1">
        <f t="shared" si="0"/>
        <v>8.86</v>
      </c>
      <c r="I18" s="17" t="str">
        <f t="shared" si="1"/>
        <v>Racional</v>
      </c>
      <c r="J18" s="1">
        <v>628.4</v>
      </c>
      <c r="K18" s="77">
        <v>3690</v>
      </c>
      <c r="L18" s="27">
        <v>3555</v>
      </c>
      <c r="M18" s="17">
        <f t="shared" si="2"/>
        <v>135</v>
      </c>
      <c r="N18" s="5">
        <f t="shared" si="3"/>
        <v>5.0329068700541866</v>
      </c>
      <c r="O18" s="5">
        <f t="shared" si="4"/>
        <v>5.0329068700541866</v>
      </c>
      <c r="P18" s="49">
        <f t="shared" si="5"/>
        <v>46.93396855420162</v>
      </c>
      <c r="Q18" s="49">
        <f t="shared" si="6"/>
        <v>160.85251700085527</v>
      </c>
      <c r="R18" s="49">
        <f t="shared" si="7"/>
        <v>103.86737609411072</v>
      </c>
      <c r="S18" s="49">
        <f t="shared" si="8"/>
        <v>148.24477246440526</v>
      </c>
      <c r="T18" s="50">
        <v>17</v>
      </c>
      <c r="U18" s="5">
        <v>0.5</v>
      </c>
      <c r="V18" s="5">
        <f t="shared" si="9"/>
        <v>0.57754855748642542</v>
      </c>
      <c r="W18" s="5">
        <f t="shared" si="10"/>
        <v>1.9793795842049691</v>
      </c>
      <c r="X18" s="5">
        <f t="shared" si="11"/>
        <v>1.2781457669358625</v>
      </c>
      <c r="Y18" s="5">
        <f t="shared" si="12"/>
        <v>1.8242342833814313</v>
      </c>
      <c r="Z18" s="78">
        <f t="shared" si="13"/>
        <v>1.8242342833814313</v>
      </c>
      <c r="AB18" t="str">
        <f>IF(Z18&gt;2.5,"0bligada","control")</f>
        <v>control</v>
      </c>
      <c r="AC18" s="97">
        <f t="shared" si="15"/>
        <v>1824.2342833814314</v>
      </c>
    </row>
    <row r="19" spans="2:29" x14ac:dyDescent="0.25">
      <c r="B19" s="150" t="s">
        <v>80</v>
      </c>
      <c r="E19" s="112">
        <v>4</v>
      </c>
      <c r="F19" s="24">
        <v>858</v>
      </c>
      <c r="G19" s="39">
        <v>2.0500000000000001E-2</v>
      </c>
      <c r="H19" s="1">
        <f t="shared" si="0"/>
        <v>2.0500000000000003</v>
      </c>
      <c r="I19" s="17" t="str">
        <f t="shared" si="1"/>
        <v>Racional</v>
      </c>
      <c r="J19" s="1">
        <v>513.1</v>
      </c>
      <c r="K19" s="77">
        <v>3690</v>
      </c>
      <c r="L19" s="27">
        <v>3581</v>
      </c>
      <c r="M19" s="17">
        <f t="shared" si="2"/>
        <v>109</v>
      </c>
      <c r="N19" s="5">
        <f t="shared" si="3"/>
        <v>4.3242295135565136</v>
      </c>
      <c r="O19" s="5">
        <f t="shared" si="4"/>
        <v>5</v>
      </c>
      <c r="P19" s="49">
        <f t="shared" si="5"/>
        <v>47.039072454260264</v>
      </c>
      <c r="Q19" s="49">
        <f t="shared" si="6"/>
        <v>161.21273002762106</v>
      </c>
      <c r="R19" s="49">
        <f t="shared" si="7"/>
        <v>104.20197999105746</v>
      </c>
      <c r="S19" s="49">
        <f t="shared" si="8"/>
        <v>148.8233439677648</v>
      </c>
      <c r="T19" s="50">
        <v>19</v>
      </c>
      <c r="U19" s="5">
        <v>0.5</v>
      </c>
      <c r="V19" s="5">
        <f t="shared" si="9"/>
        <v>0.13393069240449104</v>
      </c>
      <c r="W19" s="5">
        <f t="shared" si="10"/>
        <v>0.45900846743975449</v>
      </c>
      <c r="X19" s="5">
        <f t="shared" si="11"/>
        <v>0.29668619303009419</v>
      </c>
      <c r="Y19" s="5">
        <f t="shared" si="12"/>
        <v>0.42373313213044145</v>
      </c>
      <c r="Z19" s="78">
        <f t="shared" si="13"/>
        <v>0.42373313213044145</v>
      </c>
      <c r="AB19" t="str">
        <f t="shared" si="14"/>
        <v>control</v>
      </c>
      <c r="AC19" s="97">
        <f t="shared" si="15"/>
        <v>423.73313213044145</v>
      </c>
    </row>
    <row r="20" spans="2:29" x14ac:dyDescent="0.25">
      <c r="B20" s="150" t="s">
        <v>80</v>
      </c>
      <c r="E20" s="112">
        <v>5</v>
      </c>
      <c r="F20" s="24">
        <v>1040</v>
      </c>
      <c r="G20" s="39">
        <v>1.61E-2</v>
      </c>
      <c r="H20" s="1">
        <f t="shared" si="0"/>
        <v>1.6099999999999999</v>
      </c>
      <c r="I20" s="17" t="str">
        <f t="shared" si="1"/>
        <v>Racional</v>
      </c>
      <c r="J20" s="1">
        <v>402.9</v>
      </c>
      <c r="K20" s="77">
        <v>3690</v>
      </c>
      <c r="L20" s="27">
        <v>3599</v>
      </c>
      <c r="M20" s="17">
        <f t="shared" si="2"/>
        <v>91</v>
      </c>
      <c r="N20" s="5">
        <f t="shared" si="3"/>
        <v>3.5059564665046397</v>
      </c>
      <c r="O20" s="5">
        <f t="shared" si="4"/>
        <v>5</v>
      </c>
      <c r="P20" s="49">
        <f t="shared" si="5"/>
        <v>47.039072454260264</v>
      </c>
      <c r="Q20" s="49">
        <f t="shared" si="6"/>
        <v>161.21273002762106</v>
      </c>
      <c r="R20" s="49">
        <f t="shared" si="7"/>
        <v>104.20197999105746</v>
      </c>
      <c r="S20" s="49">
        <f t="shared" si="8"/>
        <v>148.8233439677648</v>
      </c>
      <c r="T20" s="50">
        <v>26</v>
      </c>
      <c r="U20" s="5">
        <v>0.5</v>
      </c>
      <c r="V20" s="5">
        <f t="shared" si="9"/>
        <v>0.10518459257133196</v>
      </c>
      <c r="W20" s="5">
        <f t="shared" si="10"/>
        <v>0.36048957686731931</v>
      </c>
      <c r="X20" s="5">
        <f t="shared" si="11"/>
        <v>0.23300720525778121</v>
      </c>
      <c r="Y20" s="5">
        <f t="shared" si="12"/>
        <v>0.33278553303902958</v>
      </c>
      <c r="Z20" s="78">
        <f t="shared" si="13"/>
        <v>0.33278553303902958</v>
      </c>
      <c r="AB20" t="str">
        <f t="shared" si="14"/>
        <v>control</v>
      </c>
      <c r="AC20" s="97">
        <f t="shared" si="15"/>
        <v>332.78553303902959</v>
      </c>
    </row>
    <row r="21" spans="2:29" x14ac:dyDescent="0.25">
      <c r="B21" s="150" t="s">
        <v>80</v>
      </c>
      <c r="E21" s="112">
        <v>6</v>
      </c>
      <c r="F21" s="24">
        <v>1321.5</v>
      </c>
      <c r="G21" s="39">
        <v>2.9700000000000001E-2</v>
      </c>
      <c r="H21" s="1">
        <f t="shared" si="0"/>
        <v>2.97</v>
      </c>
      <c r="I21" s="17" t="str">
        <f t="shared" si="1"/>
        <v>Racional</v>
      </c>
      <c r="J21" s="1">
        <v>187.7</v>
      </c>
      <c r="K21" s="77">
        <v>3680</v>
      </c>
      <c r="L21" s="27">
        <v>3591</v>
      </c>
      <c r="M21" s="17">
        <f t="shared" si="2"/>
        <v>89</v>
      </c>
      <c r="N21" s="5">
        <f t="shared" si="3"/>
        <v>1.4634257540503339</v>
      </c>
      <c r="O21" s="5">
        <f t="shared" si="4"/>
        <v>5</v>
      </c>
      <c r="P21" s="49">
        <f t="shared" si="5"/>
        <v>47.039072454260264</v>
      </c>
      <c r="Q21" s="49">
        <f t="shared" si="6"/>
        <v>161.21273002762106</v>
      </c>
      <c r="R21" s="49">
        <f t="shared" si="7"/>
        <v>104.20197999105746</v>
      </c>
      <c r="S21" s="49">
        <f t="shared" si="8"/>
        <v>148.8233439677648</v>
      </c>
      <c r="T21" s="50">
        <v>36</v>
      </c>
      <c r="U21" s="5">
        <v>0.5</v>
      </c>
      <c r="V21" s="5">
        <f t="shared" si="9"/>
        <v>0.1940361738738236</v>
      </c>
      <c r="W21" s="5">
        <f t="shared" si="10"/>
        <v>0.66500251136393684</v>
      </c>
      <c r="X21" s="5">
        <f t="shared" si="11"/>
        <v>0.42983316746311201</v>
      </c>
      <c r="Y21" s="5">
        <f t="shared" si="12"/>
        <v>0.61389629386702982</v>
      </c>
      <c r="Z21" s="78">
        <f t="shared" si="13"/>
        <v>0.61389629386702982</v>
      </c>
      <c r="AB21" t="str">
        <f t="shared" si="14"/>
        <v>control</v>
      </c>
      <c r="AC21" s="97">
        <f t="shared" si="15"/>
        <v>613.89629386702984</v>
      </c>
    </row>
    <row r="22" spans="2:29" x14ac:dyDescent="0.25">
      <c r="B22" s="150" t="s">
        <v>80</v>
      </c>
      <c r="E22" s="112">
        <v>7</v>
      </c>
      <c r="F22" s="24">
        <v>1440</v>
      </c>
      <c r="G22" s="39">
        <v>3.5099999999999999E-2</v>
      </c>
      <c r="H22" s="1">
        <f t="shared" si="0"/>
        <v>3.51</v>
      </c>
      <c r="I22" s="17" t="str">
        <f t="shared" si="1"/>
        <v>Racional</v>
      </c>
      <c r="J22" s="1">
        <v>252.2</v>
      </c>
      <c r="K22" s="77">
        <v>3690</v>
      </c>
      <c r="L22" s="27">
        <v>3575</v>
      </c>
      <c r="M22" s="17">
        <f t="shared" si="2"/>
        <v>115</v>
      </c>
      <c r="N22" s="5">
        <f t="shared" si="3"/>
        <v>1.8650114944967278</v>
      </c>
      <c r="O22" s="5">
        <f t="shared" si="4"/>
        <v>5</v>
      </c>
      <c r="P22" s="49">
        <f t="shared" si="5"/>
        <v>47.039072454260264</v>
      </c>
      <c r="Q22" s="49">
        <f t="shared" si="6"/>
        <v>161.21273002762106</v>
      </c>
      <c r="R22" s="49">
        <f t="shared" si="7"/>
        <v>104.20197999105746</v>
      </c>
      <c r="S22" s="49">
        <f t="shared" si="8"/>
        <v>148.8233439677648</v>
      </c>
      <c r="T22" s="50">
        <v>25</v>
      </c>
      <c r="U22" s="5">
        <v>0.5</v>
      </c>
      <c r="V22" s="5">
        <f t="shared" si="9"/>
        <v>0.22931547821451875</v>
      </c>
      <c r="W22" s="5">
        <f t="shared" si="10"/>
        <v>0.78591205888465254</v>
      </c>
      <c r="X22" s="5">
        <f t="shared" si="11"/>
        <v>0.50798465245640501</v>
      </c>
      <c r="Y22" s="5">
        <f t="shared" si="12"/>
        <v>0.7255138018428533</v>
      </c>
      <c r="Z22" s="78">
        <f t="shared" si="13"/>
        <v>0.7255138018428533</v>
      </c>
      <c r="AB22" t="str">
        <f t="shared" si="14"/>
        <v>control</v>
      </c>
      <c r="AC22" s="97">
        <f t="shared" si="15"/>
        <v>725.51380184285335</v>
      </c>
    </row>
    <row r="23" spans="2:29" x14ac:dyDescent="0.25">
      <c r="B23" s="150" t="s">
        <v>80</v>
      </c>
      <c r="E23" s="112">
        <v>8</v>
      </c>
      <c r="F23" s="24">
        <v>1719.5</v>
      </c>
      <c r="G23" s="39">
        <v>5.04E-2</v>
      </c>
      <c r="H23" s="1">
        <f t="shared" si="0"/>
        <v>5.04</v>
      </c>
      <c r="I23" s="17" t="str">
        <f t="shared" si="1"/>
        <v>Racional</v>
      </c>
      <c r="J23" s="1">
        <v>313.10000000000002</v>
      </c>
      <c r="K23" s="77">
        <v>3690</v>
      </c>
      <c r="L23" s="27">
        <v>3528</v>
      </c>
      <c r="M23" s="17">
        <f t="shared" si="2"/>
        <v>162</v>
      </c>
      <c r="N23" s="5">
        <f t="shared" si="3"/>
        <v>2.0983854868368415</v>
      </c>
      <c r="O23" s="5">
        <f t="shared" si="4"/>
        <v>5</v>
      </c>
      <c r="P23" s="49">
        <f t="shared" si="5"/>
        <v>47.039072454260264</v>
      </c>
      <c r="Q23" s="49">
        <f t="shared" si="6"/>
        <v>161.21273002762106</v>
      </c>
      <c r="R23" s="49">
        <f t="shared" si="7"/>
        <v>104.20197999105746</v>
      </c>
      <c r="S23" s="49">
        <f t="shared" si="8"/>
        <v>148.8233439677648</v>
      </c>
      <c r="T23" s="50">
        <v>40</v>
      </c>
      <c r="U23" s="5">
        <v>0.55000000000000004</v>
      </c>
      <c r="V23" s="5">
        <f t="shared" si="9"/>
        <v>0.36220085789780404</v>
      </c>
      <c r="W23" s="5">
        <f t="shared" si="10"/>
        <v>1.2413380212126821</v>
      </c>
      <c r="X23" s="5">
        <f t="shared" si="11"/>
        <v>0.80235524593114238</v>
      </c>
      <c r="Y23" s="5">
        <f t="shared" si="12"/>
        <v>1.145939748551789</v>
      </c>
      <c r="Z23" s="78">
        <f t="shared" si="13"/>
        <v>1.145939748551789</v>
      </c>
      <c r="AB23" t="str">
        <f t="shared" si="14"/>
        <v>control</v>
      </c>
      <c r="AC23" s="97">
        <f t="shared" si="15"/>
        <v>1145.9397485517891</v>
      </c>
    </row>
    <row r="24" spans="2:29" x14ac:dyDescent="0.25">
      <c r="B24" s="150" t="s">
        <v>162</v>
      </c>
      <c r="E24" s="112">
        <v>9</v>
      </c>
      <c r="F24" s="24">
        <v>1905.6</v>
      </c>
      <c r="G24" s="39">
        <v>8.9700000000000002E-2</v>
      </c>
      <c r="H24" s="1">
        <f t="shared" si="0"/>
        <v>8.9700000000000006</v>
      </c>
      <c r="I24" s="17" t="str">
        <f t="shared" si="1"/>
        <v>Racional</v>
      </c>
      <c r="J24" s="1">
        <v>336.6</v>
      </c>
      <c r="K24" s="77">
        <v>3720</v>
      </c>
      <c r="L24" s="27">
        <v>3508</v>
      </c>
      <c r="M24" s="17">
        <f t="shared" si="2"/>
        <v>212</v>
      </c>
      <c r="N24" s="5">
        <f t="shared" si="3"/>
        <v>2.0568949117825279</v>
      </c>
      <c r="O24" s="5">
        <f t="shared" si="4"/>
        <v>5</v>
      </c>
      <c r="P24" s="49">
        <f t="shared" si="5"/>
        <v>47.039072454260264</v>
      </c>
      <c r="Q24" s="49">
        <f t="shared" si="6"/>
        <v>161.21273002762106</v>
      </c>
      <c r="R24" s="49">
        <f t="shared" si="7"/>
        <v>104.20197999105746</v>
      </c>
      <c r="S24" s="49">
        <f t="shared" si="8"/>
        <v>148.8233439677648</v>
      </c>
      <c r="T24" s="50">
        <v>45</v>
      </c>
      <c r="U24" s="5">
        <v>0.55000000000000004</v>
      </c>
      <c r="V24" s="5">
        <f t="shared" si="9"/>
        <v>0.64463128875859188</v>
      </c>
      <c r="W24" s="5">
        <f t="shared" si="10"/>
        <v>2.2092861210868571</v>
      </c>
      <c r="X24" s="5">
        <f t="shared" si="11"/>
        <v>1.4280013007941168</v>
      </c>
      <c r="Y24" s="5">
        <f t="shared" si="12"/>
        <v>2.0394999096249102</v>
      </c>
      <c r="Z24" s="78">
        <f t="shared" si="13"/>
        <v>2.0394999096249102</v>
      </c>
      <c r="AB24" t="str">
        <f t="shared" si="14"/>
        <v>control</v>
      </c>
      <c r="AC24" s="97">
        <f t="shared" si="15"/>
        <v>2039.4999096249103</v>
      </c>
    </row>
    <row r="25" spans="2:29" x14ac:dyDescent="0.25">
      <c r="B25" s="150" t="s">
        <v>80</v>
      </c>
      <c r="E25" s="112">
        <v>10</v>
      </c>
      <c r="F25" s="24">
        <v>2298.4</v>
      </c>
      <c r="G25" s="39">
        <v>5.4399999999999997E-2</v>
      </c>
      <c r="H25" s="1">
        <f t="shared" si="0"/>
        <v>5.4399999999999995</v>
      </c>
      <c r="I25" s="17" t="str">
        <f t="shared" si="1"/>
        <v>Racional</v>
      </c>
      <c r="J25" s="1">
        <v>298.5</v>
      </c>
      <c r="K25" s="77">
        <v>3720</v>
      </c>
      <c r="L25" s="27">
        <v>3451</v>
      </c>
      <c r="M25" s="17">
        <f t="shared" si="2"/>
        <v>269</v>
      </c>
      <c r="N25" s="5">
        <f t="shared" si="3"/>
        <v>1.6335810657616194</v>
      </c>
      <c r="O25" s="5">
        <f t="shared" si="4"/>
        <v>5</v>
      </c>
      <c r="P25" s="49">
        <f t="shared" si="5"/>
        <v>47.039072454260264</v>
      </c>
      <c r="Q25" s="49">
        <f t="shared" si="6"/>
        <v>161.21273002762106</v>
      </c>
      <c r="R25" s="49">
        <f t="shared" si="7"/>
        <v>104.20197999105746</v>
      </c>
      <c r="S25" s="49">
        <f t="shared" si="8"/>
        <v>148.8233439677648</v>
      </c>
      <c r="T25" s="50">
        <v>56</v>
      </c>
      <c r="U25" s="5">
        <v>0.55000000000000004</v>
      </c>
      <c r="V25" s="5">
        <f t="shared" si="9"/>
        <v>0.39094695773096305</v>
      </c>
      <c r="W25" s="5">
        <f t="shared" si="10"/>
        <v>1.3398569117851171</v>
      </c>
      <c r="X25" s="5">
        <f t="shared" si="11"/>
        <v>0.86603423370345523</v>
      </c>
      <c r="Y25" s="5">
        <f t="shared" si="12"/>
        <v>1.2368873476432007</v>
      </c>
      <c r="Z25" s="78">
        <f t="shared" si="13"/>
        <v>1.2368873476432007</v>
      </c>
      <c r="AB25" t="str">
        <f t="shared" si="14"/>
        <v>control</v>
      </c>
      <c r="AC25" s="97">
        <f t="shared" si="15"/>
        <v>1236.8873476432007</v>
      </c>
    </row>
    <row r="26" spans="2:29" x14ac:dyDescent="0.25">
      <c r="B26" s="150" t="s">
        <v>80</v>
      </c>
      <c r="E26" s="112">
        <v>11</v>
      </c>
      <c r="F26" s="24">
        <v>2815</v>
      </c>
      <c r="G26" s="39">
        <v>2.4799999999999999E-2</v>
      </c>
      <c r="H26" s="1">
        <f t="shared" si="0"/>
        <v>2.48</v>
      </c>
      <c r="I26" s="17" t="str">
        <f t="shared" si="1"/>
        <v>Racional</v>
      </c>
      <c r="J26" s="1">
        <v>354.8</v>
      </c>
      <c r="K26" s="77">
        <v>3720</v>
      </c>
      <c r="L26" s="27">
        <v>3372</v>
      </c>
      <c r="M26" s="17">
        <f t="shared" si="2"/>
        <v>348</v>
      </c>
      <c r="N26" s="5">
        <f t="shared" si="3"/>
        <v>1.806166044287937</v>
      </c>
      <c r="O26" s="5">
        <f t="shared" si="4"/>
        <v>5</v>
      </c>
      <c r="P26" s="49">
        <f t="shared" si="5"/>
        <v>47.039072454260264</v>
      </c>
      <c r="Q26" s="49">
        <f t="shared" si="6"/>
        <v>161.21273002762106</v>
      </c>
      <c r="R26" s="49">
        <f t="shared" si="7"/>
        <v>104.20197999105746</v>
      </c>
      <c r="S26" s="49">
        <f t="shared" si="8"/>
        <v>148.8233439677648</v>
      </c>
      <c r="T26" s="50">
        <v>54</v>
      </c>
      <c r="U26" s="5">
        <v>0.55000000000000004</v>
      </c>
      <c r="V26" s="5">
        <f t="shared" si="9"/>
        <v>0.17822581896558612</v>
      </c>
      <c r="W26" s="5">
        <f t="shared" si="10"/>
        <v>0.61081712154909762</v>
      </c>
      <c r="X26" s="5">
        <f t="shared" si="11"/>
        <v>0.39480972418833998</v>
      </c>
      <c r="Y26" s="5">
        <f t="shared" si="12"/>
        <v>0.56387511436675331</v>
      </c>
      <c r="Z26" s="78">
        <f t="shared" si="13"/>
        <v>0.56387511436675331</v>
      </c>
      <c r="AB26" t="str">
        <f t="shared" si="14"/>
        <v>control</v>
      </c>
      <c r="AC26" s="97">
        <f t="shared" si="15"/>
        <v>563.87511436675334</v>
      </c>
    </row>
    <row r="27" spans="2:29" x14ac:dyDescent="0.25">
      <c r="B27" s="150" t="s">
        <v>162</v>
      </c>
      <c r="E27" s="112">
        <v>12</v>
      </c>
      <c r="F27" s="24">
        <v>2992.8</v>
      </c>
      <c r="G27" s="39">
        <v>3.5700000000000003E-2</v>
      </c>
      <c r="H27" s="1">
        <f t="shared" si="0"/>
        <v>3.5700000000000003</v>
      </c>
      <c r="I27" s="17" t="str">
        <f t="shared" si="1"/>
        <v>Racional</v>
      </c>
      <c r="J27" s="1">
        <v>505.6</v>
      </c>
      <c r="K27" s="77">
        <v>3720</v>
      </c>
      <c r="L27" s="27">
        <v>3356</v>
      </c>
      <c r="M27" s="17">
        <f t="shared" si="2"/>
        <v>364</v>
      </c>
      <c r="N27" s="5">
        <f t="shared" si="3"/>
        <v>2.6724386189976643</v>
      </c>
      <c r="O27" s="5">
        <f t="shared" si="4"/>
        <v>5</v>
      </c>
      <c r="P27" s="49">
        <f t="shared" si="5"/>
        <v>47.039072454260264</v>
      </c>
      <c r="Q27" s="49">
        <f t="shared" si="6"/>
        <v>161.21273002762106</v>
      </c>
      <c r="R27" s="49">
        <f t="shared" si="7"/>
        <v>104.20197999105746</v>
      </c>
      <c r="S27" s="49">
        <f t="shared" si="8"/>
        <v>148.8233439677648</v>
      </c>
      <c r="T27" s="50">
        <v>58</v>
      </c>
      <c r="U27" s="5">
        <v>0.55000000000000004</v>
      </c>
      <c r="V27" s="5">
        <f t="shared" si="9"/>
        <v>0.25655894101094456</v>
      </c>
      <c r="W27" s="5">
        <f t="shared" si="10"/>
        <v>0.87928109835898327</v>
      </c>
      <c r="X27" s="5">
        <f t="shared" si="11"/>
        <v>0.56833496586789267</v>
      </c>
      <c r="Y27" s="5">
        <f t="shared" si="12"/>
        <v>0.8117073218908506</v>
      </c>
      <c r="Z27" s="78">
        <f t="shared" si="13"/>
        <v>0.8117073218908506</v>
      </c>
      <c r="AB27" t="str">
        <f t="shared" si="14"/>
        <v>control</v>
      </c>
      <c r="AC27" s="97">
        <f t="shared" si="15"/>
        <v>811.70732189085061</v>
      </c>
    </row>
    <row r="28" spans="2:29" x14ac:dyDescent="0.25">
      <c r="B28" s="150" t="s">
        <v>80</v>
      </c>
      <c r="E28" s="112">
        <v>13</v>
      </c>
      <c r="F28" s="24">
        <v>3281.5</v>
      </c>
      <c r="G28" s="39">
        <v>7.1000000000000004E-3</v>
      </c>
      <c r="H28" s="1">
        <f t="shared" si="0"/>
        <v>0.71000000000000008</v>
      </c>
      <c r="I28" s="17" t="str">
        <f t="shared" si="1"/>
        <v>Racional</v>
      </c>
      <c r="J28" s="1">
        <v>97.6</v>
      </c>
      <c r="K28" s="77">
        <v>3352</v>
      </c>
      <c r="L28" s="27">
        <v>3319</v>
      </c>
      <c r="M28" s="17">
        <f t="shared" si="2"/>
        <v>33</v>
      </c>
      <c r="N28" s="5">
        <f t="shared" si="3"/>
        <v>1.0074448564835321</v>
      </c>
      <c r="O28" s="5">
        <f t="shared" si="4"/>
        <v>5</v>
      </c>
      <c r="P28" s="49">
        <f t="shared" si="5"/>
        <v>47.039072454260264</v>
      </c>
      <c r="Q28" s="49">
        <f t="shared" si="6"/>
        <v>161.21273002762106</v>
      </c>
      <c r="R28" s="49">
        <f t="shared" si="7"/>
        <v>104.20197999105746</v>
      </c>
      <c r="S28" s="49">
        <f t="shared" si="8"/>
        <v>148.8233439677648</v>
      </c>
      <c r="T28" s="50">
        <v>52</v>
      </c>
      <c r="U28" s="5">
        <v>0.55000000000000004</v>
      </c>
      <c r="V28" s="5">
        <f t="shared" si="9"/>
        <v>5.1024327203857321E-2</v>
      </c>
      <c r="W28" s="5">
        <f t="shared" si="10"/>
        <v>0.1748710307660723</v>
      </c>
      <c r="X28" s="5">
        <f t="shared" si="11"/>
        <v>0.11303020329585539</v>
      </c>
      <c r="Y28" s="5">
        <f t="shared" si="12"/>
        <v>0.161431988387256</v>
      </c>
      <c r="Z28" s="78">
        <f t="shared" si="13"/>
        <v>0.161431988387256</v>
      </c>
      <c r="AA28" t="s">
        <v>159</v>
      </c>
      <c r="AB28" t="str">
        <f t="shared" si="14"/>
        <v>control</v>
      </c>
      <c r="AC28" s="97">
        <f t="shared" si="15"/>
        <v>161.43198838725601</v>
      </c>
    </row>
    <row r="29" spans="2:29" x14ac:dyDescent="0.25">
      <c r="B29" s="150" t="s">
        <v>80</v>
      </c>
      <c r="E29" s="112">
        <v>14</v>
      </c>
      <c r="F29" s="24">
        <v>3590</v>
      </c>
      <c r="G29" s="39">
        <v>4.1999999999999997E-3</v>
      </c>
      <c r="H29" s="1">
        <f t="shared" si="0"/>
        <v>0.42</v>
      </c>
      <c r="I29" s="17" t="str">
        <f t="shared" si="1"/>
        <v>Racional</v>
      </c>
      <c r="J29" s="1">
        <v>159.19999999999999</v>
      </c>
      <c r="K29" s="77">
        <v>3293</v>
      </c>
      <c r="L29" s="27">
        <v>3275</v>
      </c>
      <c r="M29" s="17">
        <f t="shared" si="2"/>
        <v>18</v>
      </c>
      <c r="N29" s="5">
        <f t="shared" si="3"/>
        <v>2.2387156493170317</v>
      </c>
      <c r="O29" s="5">
        <f t="shared" si="4"/>
        <v>5</v>
      </c>
      <c r="P29" s="49">
        <f t="shared" si="5"/>
        <v>47.039072454260264</v>
      </c>
      <c r="Q29" s="49">
        <f t="shared" si="6"/>
        <v>161.21273002762106</v>
      </c>
      <c r="R29" s="49">
        <f t="shared" si="7"/>
        <v>104.20197999105746</v>
      </c>
      <c r="S29" s="49">
        <f t="shared" si="8"/>
        <v>148.8233439677648</v>
      </c>
      <c r="T29" s="50">
        <v>33</v>
      </c>
      <c r="U29" s="5">
        <v>0.45</v>
      </c>
      <c r="V29" s="5">
        <f t="shared" si="9"/>
        <v>2.4695513038486636E-2</v>
      </c>
      <c r="W29" s="5">
        <f t="shared" si="10"/>
        <v>8.463668326450105E-2</v>
      </c>
      <c r="X29" s="5">
        <f t="shared" si="11"/>
        <v>5.470603949530517E-2</v>
      </c>
      <c r="Y29" s="5">
        <f t="shared" si="12"/>
        <v>7.8132255583076515E-2</v>
      </c>
      <c r="Z29" s="78">
        <f t="shared" si="13"/>
        <v>7.8132255583076515E-2</v>
      </c>
      <c r="AA29" t="s">
        <v>163</v>
      </c>
      <c r="AB29" t="str">
        <f t="shared" si="14"/>
        <v>control</v>
      </c>
      <c r="AC29" s="97">
        <f t="shared" si="15"/>
        <v>78.132255583076514</v>
      </c>
    </row>
    <row r="30" spans="2:29" x14ac:dyDescent="0.25">
      <c r="B30" s="150" t="s">
        <v>80</v>
      </c>
      <c r="E30" s="112">
        <v>15</v>
      </c>
      <c r="F30" s="24">
        <v>4140</v>
      </c>
      <c r="G30" s="39">
        <v>2.0799999999999999E-2</v>
      </c>
      <c r="H30" s="1">
        <f t="shared" si="0"/>
        <v>2.08</v>
      </c>
      <c r="I30" s="17" t="str">
        <f t="shared" si="1"/>
        <v>Racional</v>
      </c>
      <c r="J30" s="1">
        <v>153.19999999999999</v>
      </c>
      <c r="K30" s="15">
        <v>3286</v>
      </c>
      <c r="L30" s="15">
        <v>3183</v>
      </c>
      <c r="M30" s="17">
        <f t="shared" si="2"/>
        <v>103</v>
      </c>
      <c r="N30" s="5">
        <f t="shared" si="3"/>
        <v>1.0941230155191084</v>
      </c>
      <c r="O30" s="5">
        <f t="shared" si="4"/>
        <v>5</v>
      </c>
      <c r="P30" s="49">
        <f t="shared" si="5"/>
        <v>47.039072454260264</v>
      </c>
      <c r="Q30" s="49">
        <f t="shared" si="6"/>
        <v>161.21273002762106</v>
      </c>
      <c r="R30" s="49">
        <f t="shared" si="7"/>
        <v>104.20197999105746</v>
      </c>
      <c r="S30" s="49">
        <f t="shared" si="8"/>
        <v>148.8233439677648</v>
      </c>
      <c r="T30" s="50">
        <v>36</v>
      </c>
      <c r="U30" s="5">
        <v>0.45</v>
      </c>
      <c r="V30" s="5">
        <f t="shared" si="9"/>
        <v>0.1223015883810767</v>
      </c>
      <c r="W30" s="5">
        <f t="shared" si="10"/>
        <v>0.41915309807181478</v>
      </c>
      <c r="X30" s="5">
        <f t="shared" si="11"/>
        <v>0.27092514797674944</v>
      </c>
      <c r="Y30" s="5">
        <f t="shared" si="12"/>
        <v>0.38694069431618849</v>
      </c>
      <c r="Z30" s="78">
        <f t="shared" si="13"/>
        <v>0.38694069431618849</v>
      </c>
      <c r="AA30" s="96">
        <f>Z30+Z29</f>
        <v>0.46507294989926501</v>
      </c>
      <c r="AB30" t="str">
        <f t="shared" si="14"/>
        <v>control</v>
      </c>
      <c r="AC30" s="97">
        <f t="shared" si="15"/>
        <v>386.94069431618851</v>
      </c>
    </row>
    <row r="31" spans="2:29" x14ac:dyDescent="0.25">
      <c r="B31" s="150" t="s">
        <v>162</v>
      </c>
      <c r="E31" s="112">
        <v>16</v>
      </c>
      <c r="F31" s="24">
        <v>4661.6000000000004</v>
      </c>
      <c r="G31" s="39">
        <v>4.7800000000000002E-2</v>
      </c>
      <c r="H31" s="1">
        <f t="shared" si="0"/>
        <v>4.78</v>
      </c>
      <c r="I31" s="17" t="str">
        <f t="shared" si="1"/>
        <v>Racional</v>
      </c>
      <c r="J31" s="1">
        <v>355.1</v>
      </c>
      <c r="K31" s="15">
        <v>3285</v>
      </c>
      <c r="L31" s="15">
        <v>3100</v>
      </c>
      <c r="M31" s="17">
        <f t="shared" si="2"/>
        <v>185</v>
      </c>
      <c r="N31" s="5">
        <f t="shared" si="3"/>
        <v>2.3058365685643873</v>
      </c>
      <c r="O31" s="5">
        <f t="shared" si="4"/>
        <v>5</v>
      </c>
      <c r="P31" s="49">
        <f t="shared" si="5"/>
        <v>47.039072454260264</v>
      </c>
      <c r="Q31" s="49">
        <f t="shared" si="6"/>
        <v>161.21273002762106</v>
      </c>
      <c r="R31" s="49">
        <f t="shared" si="7"/>
        <v>104.20197999105746</v>
      </c>
      <c r="S31" s="49">
        <f t="shared" si="8"/>
        <v>148.8233439677648</v>
      </c>
      <c r="T31" s="50">
        <v>36</v>
      </c>
      <c r="U31" s="5">
        <v>0.45</v>
      </c>
      <c r="V31" s="5">
        <f t="shared" si="9"/>
        <v>0.28105845791420514</v>
      </c>
      <c r="W31" s="5">
        <f t="shared" si="10"/>
        <v>0.96324606191503581</v>
      </c>
      <c r="X31" s="5">
        <f t="shared" si="11"/>
        <v>0.62260683044656839</v>
      </c>
      <c r="Y31" s="5">
        <f t="shared" si="12"/>
        <v>0.88921948020739461</v>
      </c>
      <c r="Z31" s="78">
        <f t="shared" si="13"/>
        <v>0.88921948020739461</v>
      </c>
      <c r="AA31" t="s">
        <v>163</v>
      </c>
      <c r="AB31" t="str">
        <f t="shared" si="14"/>
        <v>control</v>
      </c>
      <c r="AC31" s="97">
        <f t="shared" si="15"/>
        <v>889.21948020739455</v>
      </c>
    </row>
    <row r="32" spans="2:29" x14ac:dyDescent="0.25">
      <c r="B32" s="150" t="s">
        <v>162</v>
      </c>
      <c r="E32" s="112">
        <v>17</v>
      </c>
      <c r="F32" s="24">
        <v>4785</v>
      </c>
      <c r="G32" s="39">
        <v>3.0999999999999999E-3</v>
      </c>
      <c r="H32" s="1">
        <f t="shared" si="0"/>
        <v>0.31</v>
      </c>
      <c r="I32" s="17" t="str">
        <f t="shared" si="1"/>
        <v>Racional</v>
      </c>
      <c r="J32" s="1">
        <v>57.5</v>
      </c>
      <c r="K32" s="15">
        <v>3107</v>
      </c>
      <c r="L32" s="15">
        <v>3077</v>
      </c>
      <c r="M32" s="17">
        <f t="shared" si="2"/>
        <v>30</v>
      </c>
      <c r="N32" s="5">
        <f t="shared" si="3"/>
        <v>0.567230126564364</v>
      </c>
      <c r="O32" s="5">
        <f t="shared" si="4"/>
        <v>5</v>
      </c>
      <c r="P32" s="49">
        <f t="shared" si="5"/>
        <v>47.039072454260264</v>
      </c>
      <c r="Q32" s="49">
        <f t="shared" si="6"/>
        <v>161.21273002762106</v>
      </c>
      <c r="R32" s="49">
        <f t="shared" si="7"/>
        <v>104.20197999105746</v>
      </c>
      <c r="S32" s="49">
        <f t="shared" si="8"/>
        <v>148.8233439677648</v>
      </c>
      <c r="T32" s="50">
        <v>33</v>
      </c>
      <c r="U32" s="5">
        <v>0.45</v>
      </c>
      <c r="V32" s="5">
        <f t="shared" si="9"/>
        <v>1.8227640576025852E-2</v>
      </c>
      <c r="W32" s="5">
        <f t="shared" si="10"/>
        <v>6.2469932885703162E-2</v>
      </c>
      <c r="X32" s="5">
        <f t="shared" si="11"/>
        <v>4.0378267246534767E-2</v>
      </c>
      <c r="Y32" s="5">
        <f t="shared" si="12"/>
        <v>5.7669045787508859E-2</v>
      </c>
      <c r="Z32" s="78">
        <f t="shared" si="13"/>
        <v>5.7669045787508859E-2</v>
      </c>
      <c r="AA32" s="96">
        <f>Z32+Z31</f>
        <v>0.94688852599490347</v>
      </c>
      <c r="AB32" t="str">
        <f t="shared" si="14"/>
        <v>control</v>
      </c>
      <c r="AC32" s="97">
        <f t="shared" si="15"/>
        <v>57.669045787508857</v>
      </c>
    </row>
    <row r="33" spans="2:29" x14ac:dyDescent="0.25">
      <c r="B33" s="95" t="s">
        <v>162</v>
      </c>
      <c r="E33" s="112">
        <v>18</v>
      </c>
      <c r="F33" s="25">
        <v>4978</v>
      </c>
      <c r="G33" s="39">
        <v>9.1999999999999998E-3</v>
      </c>
      <c r="H33" s="1">
        <f t="shared" si="0"/>
        <v>0.91999999999999993</v>
      </c>
      <c r="I33" s="87" t="str">
        <f t="shared" si="1"/>
        <v>Racional</v>
      </c>
      <c r="J33" s="1">
        <v>174.6</v>
      </c>
      <c r="K33" s="87">
        <v>3113</v>
      </c>
      <c r="L33" s="87">
        <v>3047</v>
      </c>
      <c r="M33" s="87">
        <f t="shared" si="2"/>
        <v>66</v>
      </c>
      <c r="N33" s="5">
        <f t="shared" si="3"/>
        <v>1.5103280653358797</v>
      </c>
      <c r="O33" s="5">
        <f t="shared" si="4"/>
        <v>5</v>
      </c>
      <c r="P33" s="49">
        <f t="shared" si="5"/>
        <v>47.039072454260264</v>
      </c>
      <c r="Q33" s="49">
        <f t="shared" si="6"/>
        <v>161.21273002762106</v>
      </c>
      <c r="R33" s="49">
        <f t="shared" si="7"/>
        <v>104.20197999105746</v>
      </c>
      <c r="S33" s="49">
        <f t="shared" si="8"/>
        <v>148.8233439677648</v>
      </c>
      <c r="T33" s="50">
        <v>30</v>
      </c>
      <c r="U33" s="5">
        <v>0.45</v>
      </c>
      <c r="V33" s="5">
        <f t="shared" si="9"/>
        <v>5.4094933322399306E-2</v>
      </c>
      <c r="W33" s="5">
        <f t="shared" si="10"/>
        <v>0.18539463953176419</v>
      </c>
      <c r="X33" s="5">
        <f t="shared" si="11"/>
        <v>0.11983227698971607</v>
      </c>
      <c r="Y33" s="5">
        <f t="shared" si="12"/>
        <v>0.1711468455629295</v>
      </c>
      <c r="Z33" s="78">
        <f t="shared" si="13"/>
        <v>0.1711468455629295</v>
      </c>
      <c r="AA33" t="s">
        <v>163</v>
      </c>
      <c r="AB33" t="str">
        <f t="shared" si="14"/>
        <v>control</v>
      </c>
      <c r="AC33" s="97">
        <f t="shared" si="15"/>
        <v>171.14684556292951</v>
      </c>
    </row>
    <row r="34" spans="2:29" x14ac:dyDescent="0.25">
      <c r="B34" s="150" t="s">
        <v>80</v>
      </c>
      <c r="E34" s="112">
        <v>19</v>
      </c>
      <c r="F34" s="24">
        <v>5230</v>
      </c>
      <c r="G34" s="39">
        <v>8.2000000000000007E-3</v>
      </c>
      <c r="H34" s="1">
        <f t="shared" si="0"/>
        <v>0.82000000000000006</v>
      </c>
      <c r="I34" s="17" t="str">
        <f t="shared" si="1"/>
        <v>Racional</v>
      </c>
      <c r="J34" s="1">
        <v>125.1</v>
      </c>
      <c r="K34" s="15">
        <v>3055</v>
      </c>
      <c r="L34" s="15">
        <v>3011</v>
      </c>
      <c r="M34" s="17">
        <f t="shared" si="2"/>
        <v>44</v>
      </c>
      <c r="N34" s="5">
        <f t="shared" si="3"/>
        <v>1.2012614040102849</v>
      </c>
      <c r="O34" s="5">
        <f t="shared" si="4"/>
        <v>5</v>
      </c>
      <c r="P34" s="49">
        <f t="shared" si="5"/>
        <v>47.039072454260264</v>
      </c>
      <c r="Q34" s="49">
        <f t="shared" si="6"/>
        <v>161.21273002762106</v>
      </c>
      <c r="R34" s="49">
        <f t="shared" si="7"/>
        <v>104.20197999105746</v>
      </c>
      <c r="S34" s="49">
        <f t="shared" si="8"/>
        <v>148.8233439677648</v>
      </c>
      <c r="T34" s="50">
        <v>41</v>
      </c>
      <c r="U34" s="5">
        <v>0.45</v>
      </c>
      <c r="V34" s="5">
        <f t="shared" si="9"/>
        <v>4.8215049265616775E-2</v>
      </c>
      <c r="W34" s="5">
        <f t="shared" si="10"/>
        <v>0.1652430482783116</v>
      </c>
      <c r="X34" s="5">
        <f t="shared" si="11"/>
        <v>0.1068070294908339</v>
      </c>
      <c r="Y34" s="5">
        <f t="shared" si="12"/>
        <v>0.15254392756695892</v>
      </c>
      <c r="Z34" s="78">
        <f t="shared" si="13"/>
        <v>0.15254392756695892</v>
      </c>
      <c r="AA34" s="96">
        <f>Z34+Z33</f>
        <v>0.32369077312988842</v>
      </c>
      <c r="AB34" t="str">
        <f t="shared" si="14"/>
        <v>control</v>
      </c>
      <c r="AC34" s="97">
        <f t="shared" si="15"/>
        <v>152.54392756695893</v>
      </c>
    </row>
    <row r="35" spans="2:29" x14ac:dyDescent="0.25">
      <c r="B35" s="150" t="s">
        <v>78</v>
      </c>
      <c r="E35" s="112">
        <v>20</v>
      </c>
      <c r="F35" s="24">
        <v>5494</v>
      </c>
      <c r="G35" s="39">
        <v>8.6E-3</v>
      </c>
      <c r="H35" s="1">
        <f t="shared" si="0"/>
        <v>0.86</v>
      </c>
      <c r="I35" s="17" t="str">
        <f t="shared" si="1"/>
        <v>Racional</v>
      </c>
      <c r="J35" s="1">
        <v>232.9</v>
      </c>
      <c r="K35" s="15">
        <v>3043</v>
      </c>
      <c r="L35" s="15">
        <v>2985</v>
      </c>
      <c r="M35" s="17">
        <f t="shared" si="2"/>
        <v>58</v>
      </c>
      <c r="N35" s="5">
        <f t="shared" si="3"/>
        <v>2.2140916450002686</v>
      </c>
      <c r="O35" s="5">
        <f t="shared" si="4"/>
        <v>5</v>
      </c>
      <c r="P35" s="49">
        <f t="shared" si="5"/>
        <v>47.039072454260264</v>
      </c>
      <c r="Q35" s="49">
        <f t="shared" si="6"/>
        <v>161.21273002762106</v>
      </c>
      <c r="R35" s="49">
        <f t="shared" si="7"/>
        <v>104.20197999105746</v>
      </c>
      <c r="S35" s="49">
        <f t="shared" si="8"/>
        <v>148.8233439677648</v>
      </c>
      <c r="T35" s="50">
        <v>20</v>
      </c>
      <c r="U35" s="5">
        <v>0.4</v>
      </c>
      <c r="V35" s="5">
        <f t="shared" si="9"/>
        <v>4.4948447011848698E-2</v>
      </c>
      <c r="W35" s="5">
        <f t="shared" si="10"/>
        <v>0.15404771980417123</v>
      </c>
      <c r="X35" s="5">
        <f t="shared" si="11"/>
        <v>9.9570780880343795E-2</v>
      </c>
      <c r="Y35" s="5">
        <f t="shared" si="12"/>
        <v>0.14220897312475303</v>
      </c>
      <c r="Z35" s="78">
        <f t="shared" si="13"/>
        <v>0.14220897312475303</v>
      </c>
      <c r="AB35" t="str">
        <f t="shared" si="14"/>
        <v>control</v>
      </c>
      <c r="AC35" s="97">
        <f t="shared" si="15"/>
        <v>142.20897312475304</v>
      </c>
    </row>
    <row r="36" spans="2:29" x14ac:dyDescent="0.25">
      <c r="B36" s="150" t="s">
        <v>78</v>
      </c>
      <c r="E36" s="112">
        <v>21</v>
      </c>
      <c r="F36" s="24">
        <v>6057</v>
      </c>
      <c r="G36" s="80">
        <v>3.2000000000000002E-3</v>
      </c>
      <c r="H36" s="1">
        <f t="shared" si="0"/>
        <v>0.32</v>
      </c>
      <c r="I36" s="17" t="str">
        <f t="shared" si="1"/>
        <v>Racional</v>
      </c>
      <c r="J36" s="1"/>
      <c r="K36" s="15"/>
      <c r="L36" s="15"/>
      <c r="M36" s="17">
        <f t="shared" si="2"/>
        <v>0</v>
      </c>
      <c r="N36" s="5" t="e">
        <f t="shared" si="3"/>
        <v>#DIV/0!</v>
      </c>
      <c r="O36" s="5">
        <v>5</v>
      </c>
      <c r="P36" s="49">
        <f t="shared" si="5"/>
        <v>47.039072454260264</v>
      </c>
      <c r="Q36" s="49">
        <f t="shared" si="6"/>
        <v>161.21273002762106</v>
      </c>
      <c r="R36" s="49">
        <f t="shared" si="7"/>
        <v>104.20197999105746</v>
      </c>
      <c r="S36" s="49">
        <f t="shared" si="8"/>
        <v>148.8233439677648</v>
      </c>
      <c r="T36" s="50">
        <v>13</v>
      </c>
      <c r="U36" s="5">
        <v>0.4</v>
      </c>
      <c r="V36" s="5">
        <f t="shared" si="9"/>
        <v>1.6725003539292536E-2</v>
      </c>
      <c r="W36" s="5">
        <f t="shared" si="10"/>
        <v>5.7320081787598606E-2</v>
      </c>
      <c r="X36" s="5">
        <f t="shared" si="11"/>
        <v>3.7049592885709318E-2</v>
      </c>
      <c r="Y36" s="5">
        <f t="shared" si="12"/>
        <v>5.2914966744094155E-2</v>
      </c>
      <c r="Z36" s="78">
        <f t="shared" si="13"/>
        <v>5.2914966744094155E-2</v>
      </c>
      <c r="AA36" t="s">
        <v>102</v>
      </c>
      <c r="AB36" t="str">
        <f t="shared" si="14"/>
        <v>control</v>
      </c>
      <c r="AC36" s="97">
        <f t="shared" si="15"/>
        <v>52.914966744094158</v>
      </c>
    </row>
    <row r="37" spans="2:29" x14ac:dyDescent="0.25">
      <c r="B37" s="150" t="s">
        <v>80</v>
      </c>
      <c r="E37" s="112">
        <v>22</v>
      </c>
      <c r="F37" s="24">
        <v>6360</v>
      </c>
      <c r="G37" s="39">
        <v>2.1899999999999999E-2</v>
      </c>
      <c r="H37" s="1">
        <f t="shared" si="0"/>
        <v>2.19</v>
      </c>
      <c r="I37" s="17" t="str">
        <f t="shared" si="1"/>
        <v>Racional</v>
      </c>
      <c r="J37" s="1">
        <v>165.4</v>
      </c>
      <c r="K37" s="15">
        <v>3000</v>
      </c>
      <c r="L37" s="15">
        <v>2938</v>
      </c>
      <c r="M37" s="17">
        <f t="shared" si="2"/>
        <v>62</v>
      </c>
      <c r="N37" s="5">
        <f t="shared" si="3"/>
        <v>1.4533570425430562</v>
      </c>
      <c r="O37" s="5">
        <f t="shared" si="4"/>
        <v>5</v>
      </c>
      <c r="P37" s="49">
        <f t="shared" si="5"/>
        <v>47.039072454260264</v>
      </c>
      <c r="Q37" s="49">
        <f t="shared" si="6"/>
        <v>161.21273002762106</v>
      </c>
      <c r="R37" s="49">
        <f t="shared" si="7"/>
        <v>104.20197999105746</v>
      </c>
      <c r="S37" s="49">
        <f t="shared" si="8"/>
        <v>148.8233439677648</v>
      </c>
      <c r="T37" s="50">
        <v>27</v>
      </c>
      <c r="U37" s="5">
        <v>0.5</v>
      </c>
      <c r="V37" s="5">
        <f t="shared" si="9"/>
        <v>0.14307717871504164</v>
      </c>
      <c r="W37" s="5">
        <f t="shared" si="10"/>
        <v>0.49035538716734745</v>
      </c>
      <c r="X37" s="5">
        <f t="shared" si="11"/>
        <v>0.31694768913946642</v>
      </c>
      <c r="Y37" s="5">
        <f t="shared" si="12"/>
        <v>0.45267100456861792</v>
      </c>
      <c r="Z37" s="78">
        <f t="shared" si="13"/>
        <v>0.45267100456861792</v>
      </c>
      <c r="AB37" t="str">
        <f t="shared" si="14"/>
        <v>control</v>
      </c>
      <c r="AC37" s="97">
        <f t="shared" si="15"/>
        <v>452.67100456861795</v>
      </c>
    </row>
    <row r="38" spans="2:29" x14ac:dyDescent="0.25">
      <c r="B38" s="95" t="s">
        <v>80</v>
      </c>
      <c r="E38" s="112">
        <v>23</v>
      </c>
      <c r="F38" s="25">
        <v>6623.4</v>
      </c>
      <c r="G38" s="39">
        <v>1.18E-2</v>
      </c>
      <c r="H38" s="1">
        <f t="shared" si="0"/>
        <v>1.18</v>
      </c>
      <c r="I38" s="87" t="str">
        <f t="shared" si="1"/>
        <v>Racional</v>
      </c>
      <c r="J38" s="1">
        <v>136.69999999999999</v>
      </c>
      <c r="K38" s="87">
        <v>2970</v>
      </c>
      <c r="L38" s="87">
        <v>2910</v>
      </c>
      <c r="M38" s="87">
        <f t="shared" si="2"/>
        <v>60</v>
      </c>
      <c r="N38" s="5">
        <f t="shared" si="3"/>
        <v>1.1810247917234831</v>
      </c>
      <c r="O38" s="5">
        <f t="shared" si="4"/>
        <v>5</v>
      </c>
      <c r="P38" s="49">
        <f t="shared" si="5"/>
        <v>47.039072454260264</v>
      </c>
      <c r="Q38" s="49">
        <f t="shared" si="6"/>
        <v>161.21273002762106</v>
      </c>
      <c r="R38" s="49">
        <f t="shared" si="7"/>
        <v>104.20197999105746</v>
      </c>
      <c r="S38" s="49">
        <f t="shared" si="8"/>
        <v>148.8233439677648</v>
      </c>
      <c r="T38" s="50">
        <v>30</v>
      </c>
      <c r="U38" s="5">
        <v>0.5</v>
      </c>
      <c r="V38" s="5">
        <f t="shared" si="9"/>
        <v>7.7091813188926536E-2</v>
      </c>
      <c r="W38" s="5">
        <f t="shared" si="10"/>
        <v>0.2642097519897123</v>
      </c>
      <c r="X38" s="5">
        <f t="shared" si="11"/>
        <v>0.17077546720756637</v>
      </c>
      <c r="Y38" s="5">
        <f t="shared" si="12"/>
        <v>0.24390492483605897</v>
      </c>
      <c r="Z38" s="78">
        <f t="shared" si="13"/>
        <v>0.24390492483605897</v>
      </c>
      <c r="AB38" t="str">
        <f t="shared" si="14"/>
        <v>control</v>
      </c>
      <c r="AC38" s="97">
        <f t="shared" si="15"/>
        <v>243.90492483605897</v>
      </c>
    </row>
    <row r="39" spans="2:29" x14ac:dyDescent="0.25">
      <c r="B39" s="150" t="s">
        <v>80</v>
      </c>
      <c r="E39" s="112">
        <v>24</v>
      </c>
      <c r="F39" s="26">
        <v>6794</v>
      </c>
      <c r="G39" s="39">
        <v>6.3E-3</v>
      </c>
      <c r="H39" s="1">
        <f t="shared" si="0"/>
        <v>0.63</v>
      </c>
      <c r="I39" s="17" t="str">
        <f t="shared" si="1"/>
        <v>Racional</v>
      </c>
      <c r="J39" s="1">
        <v>70.8</v>
      </c>
      <c r="K39" s="15">
        <v>2927</v>
      </c>
      <c r="L39" s="15">
        <v>2882</v>
      </c>
      <c r="M39" s="17">
        <f t="shared" si="2"/>
        <v>45</v>
      </c>
      <c r="N39" s="5">
        <f t="shared" si="3"/>
        <v>0.61707251959949405</v>
      </c>
      <c r="O39" s="5">
        <f t="shared" si="4"/>
        <v>5</v>
      </c>
      <c r="P39" s="49">
        <f t="shared" si="5"/>
        <v>47.039072454260264</v>
      </c>
      <c r="Q39" s="49">
        <f t="shared" si="6"/>
        <v>161.21273002762106</v>
      </c>
      <c r="R39" s="49">
        <f t="shared" si="7"/>
        <v>104.20197999105746</v>
      </c>
      <c r="S39" s="49">
        <f t="shared" si="8"/>
        <v>148.8233439677648</v>
      </c>
      <c r="T39" s="50">
        <v>34</v>
      </c>
      <c r="U39" s="5">
        <v>0.5</v>
      </c>
      <c r="V39" s="5">
        <f t="shared" si="9"/>
        <v>4.1159188397477731E-2</v>
      </c>
      <c r="W39" s="5">
        <f t="shared" si="10"/>
        <v>0.14106113877416843</v>
      </c>
      <c r="X39" s="5">
        <f t="shared" si="11"/>
        <v>9.1176732492175283E-2</v>
      </c>
      <c r="Y39" s="5">
        <f t="shared" si="12"/>
        <v>0.1302204259717942</v>
      </c>
      <c r="Z39" s="78">
        <f t="shared" si="13"/>
        <v>0.1302204259717942</v>
      </c>
      <c r="AB39" t="str">
        <f t="shared" si="14"/>
        <v>control</v>
      </c>
      <c r="AC39" s="97">
        <f t="shared" si="15"/>
        <v>130.22042597179421</v>
      </c>
    </row>
    <row r="40" spans="2:29" x14ac:dyDescent="0.25">
      <c r="B40" s="150" t="s">
        <v>162</v>
      </c>
      <c r="E40" s="112">
        <v>25</v>
      </c>
      <c r="F40" s="24">
        <v>7225</v>
      </c>
      <c r="G40" s="39">
        <v>5.4999999999999997E-3</v>
      </c>
      <c r="H40" s="1">
        <f t="shared" si="0"/>
        <v>0.54999999999999993</v>
      </c>
      <c r="I40" s="17" t="str">
        <f t="shared" si="1"/>
        <v>Racional</v>
      </c>
      <c r="J40" s="1">
        <v>94.9</v>
      </c>
      <c r="K40" s="15">
        <v>2832</v>
      </c>
      <c r="L40" s="15">
        <v>2817</v>
      </c>
      <c r="M40" s="17">
        <f t="shared" si="2"/>
        <v>15</v>
      </c>
      <c r="N40" s="5">
        <f t="shared" si="3"/>
        <v>1.321240726109097</v>
      </c>
      <c r="O40" s="5">
        <f t="shared" si="4"/>
        <v>5</v>
      </c>
      <c r="P40" s="49">
        <f t="shared" si="5"/>
        <v>47.039072454260264</v>
      </c>
      <c r="Q40" s="49">
        <f t="shared" si="6"/>
        <v>161.21273002762106</v>
      </c>
      <c r="R40" s="49">
        <f t="shared" si="7"/>
        <v>104.20197999105746</v>
      </c>
      <c r="S40" s="49">
        <f t="shared" si="8"/>
        <v>148.8233439677648</v>
      </c>
      <c r="T40" s="50">
        <v>30</v>
      </c>
      <c r="U40" s="5">
        <v>0.5</v>
      </c>
      <c r="V40" s="5">
        <f t="shared" si="9"/>
        <v>3.5932624791448813E-2</v>
      </c>
      <c r="W40" s="5">
        <f t="shared" si="10"/>
        <v>0.12314861321554385</v>
      </c>
      <c r="X40" s="5">
        <f t="shared" si="11"/>
        <v>7.9598734715391112E-2</v>
      </c>
      <c r="Y40" s="5">
        <f t="shared" si="12"/>
        <v>0.11368449886426477</v>
      </c>
      <c r="Z40" s="78">
        <f t="shared" si="13"/>
        <v>0.11368449886426477</v>
      </c>
      <c r="AB40" t="str">
        <f t="shared" si="14"/>
        <v>control</v>
      </c>
      <c r="AC40" s="97">
        <f t="shared" si="15"/>
        <v>113.68449886426477</v>
      </c>
    </row>
    <row r="41" spans="2:29" x14ac:dyDescent="0.25">
      <c r="B41" s="150" t="s">
        <v>78</v>
      </c>
      <c r="E41" s="112">
        <v>26</v>
      </c>
      <c r="F41" s="24">
        <v>7435</v>
      </c>
      <c r="G41" s="80">
        <v>1.4E-3</v>
      </c>
      <c r="H41" s="1">
        <f t="shared" si="0"/>
        <v>0.13999999999999999</v>
      </c>
      <c r="I41" s="17" t="str">
        <f t="shared" si="1"/>
        <v>Racional</v>
      </c>
      <c r="J41" s="1"/>
      <c r="K41" s="15"/>
      <c r="L41" s="15"/>
      <c r="M41" s="17">
        <f t="shared" si="2"/>
        <v>0</v>
      </c>
      <c r="N41" s="5" t="e">
        <f t="shared" si="3"/>
        <v>#DIV/0!</v>
      </c>
      <c r="O41" s="5">
        <v>5</v>
      </c>
      <c r="P41" s="49">
        <f t="shared" si="5"/>
        <v>47.039072454260264</v>
      </c>
      <c r="Q41" s="49">
        <f t="shared" si="6"/>
        <v>161.21273002762106</v>
      </c>
      <c r="R41" s="49">
        <f t="shared" si="7"/>
        <v>104.20197999105746</v>
      </c>
      <c r="S41" s="49">
        <f t="shared" si="8"/>
        <v>148.8233439677648</v>
      </c>
      <c r="T41" s="50">
        <v>25</v>
      </c>
      <c r="U41" s="5">
        <v>0.5</v>
      </c>
      <c r="V41" s="5">
        <f t="shared" si="9"/>
        <v>9.1464863105506049E-3</v>
      </c>
      <c r="W41" s="5">
        <f t="shared" si="10"/>
        <v>3.134691972759298E-2</v>
      </c>
      <c r="X41" s="5">
        <f t="shared" si="11"/>
        <v>2.0261496109372279E-2</v>
      </c>
      <c r="Y41" s="5">
        <f t="shared" si="12"/>
        <v>2.8937872438176488E-2</v>
      </c>
      <c r="Z41" s="78">
        <f t="shared" si="13"/>
        <v>2.8937872438176488E-2</v>
      </c>
      <c r="AB41" t="str">
        <f t="shared" si="14"/>
        <v>control</v>
      </c>
      <c r="AC41" s="97">
        <f t="shared" si="15"/>
        <v>28.937872438176488</v>
      </c>
    </row>
    <row r="42" spans="2:29" x14ac:dyDescent="0.25">
      <c r="B42" s="150" t="s">
        <v>162</v>
      </c>
      <c r="E42" s="112">
        <v>27</v>
      </c>
      <c r="F42" s="24">
        <v>7615</v>
      </c>
      <c r="G42" s="80">
        <v>1.2999999999999999E-3</v>
      </c>
      <c r="H42" s="1">
        <f t="shared" si="0"/>
        <v>0.13</v>
      </c>
      <c r="I42" s="17" t="str">
        <f t="shared" si="1"/>
        <v>Racional</v>
      </c>
      <c r="J42" s="1"/>
      <c r="K42" s="15"/>
      <c r="L42" s="15"/>
      <c r="M42" s="17">
        <f t="shared" si="2"/>
        <v>0</v>
      </c>
      <c r="N42" s="5" t="e">
        <f t="shared" si="3"/>
        <v>#DIV/0!</v>
      </c>
      <c r="O42" s="5">
        <v>5</v>
      </c>
      <c r="P42" s="49">
        <f t="shared" si="5"/>
        <v>47.039072454260264</v>
      </c>
      <c r="Q42" s="49">
        <f t="shared" si="6"/>
        <v>161.21273002762106</v>
      </c>
      <c r="R42" s="49">
        <f t="shared" si="7"/>
        <v>104.20197999105746</v>
      </c>
      <c r="S42" s="49">
        <f t="shared" si="8"/>
        <v>148.8233439677648</v>
      </c>
      <c r="T42" s="50">
        <v>12</v>
      </c>
      <c r="U42" s="5">
        <v>0.5</v>
      </c>
      <c r="V42" s="5">
        <f t="shared" si="9"/>
        <v>8.4931658597969927E-3</v>
      </c>
      <c r="W42" s="5">
        <f t="shared" si="10"/>
        <v>2.9107854032764915E-2</v>
      </c>
      <c r="X42" s="5">
        <f t="shared" si="11"/>
        <v>1.8814246387274264E-2</v>
      </c>
      <c r="Y42" s="5">
        <f t="shared" si="12"/>
        <v>2.6870881549735312E-2</v>
      </c>
      <c r="Z42" s="78">
        <f t="shared" si="13"/>
        <v>2.6870881549735312E-2</v>
      </c>
      <c r="AB42" t="str">
        <f t="shared" si="14"/>
        <v>control</v>
      </c>
      <c r="AC42" s="97">
        <f t="shared" si="15"/>
        <v>26.870881549735312</v>
      </c>
    </row>
    <row r="43" spans="2:29" x14ac:dyDescent="0.25">
      <c r="B43" s="150" t="s">
        <v>78</v>
      </c>
      <c r="E43" s="112">
        <v>28</v>
      </c>
      <c r="F43" s="24">
        <v>7918</v>
      </c>
      <c r="G43" s="80">
        <v>2.3999999999999998E-3</v>
      </c>
      <c r="H43" s="1">
        <f t="shared" si="0"/>
        <v>0.24</v>
      </c>
      <c r="I43" s="17" t="str">
        <f t="shared" si="1"/>
        <v>Racional</v>
      </c>
      <c r="J43" s="1"/>
      <c r="K43" s="15"/>
      <c r="L43" s="15"/>
      <c r="M43" s="17">
        <f t="shared" si="2"/>
        <v>0</v>
      </c>
      <c r="N43" s="5" t="e">
        <f t="shared" si="3"/>
        <v>#DIV/0!</v>
      </c>
      <c r="O43" s="5">
        <v>5</v>
      </c>
      <c r="P43" s="49">
        <f t="shared" si="5"/>
        <v>47.039072454260264</v>
      </c>
      <c r="Q43" s="49">
        <f t="shared" si="6"/>
        <v>161.21273002762106</v>
      </c>
      <c r="R43" s="49">
        <f t="shared" si="7"/>
        <v>104.20197999105746</v>
      </c>
      <c r="S43" s="49">
        <f t="shared" si="8"/>
        <v>148.8233439677648</v>
      </c>
      <c r="T43" s="50">
        <v>12</v>
      </c>
      <c r="U43" s="5">
        <v>0.5</v>
      </c>
      <c r="V43" s="5">
        <f t="shared" si="9"/>
        <v>1.5679690818086754E-2</v>
      </c>
      <c r="W43" s="5">
        <f t="shared" si="10"/>
        <v>5.3737576675873686E-2</v>
      </c>
      <c r="X43" s="5">
        <f t="shared" si="11"/>
        <v>3.4733993330352479E-2</v>
      </c>
      <c r="Y43" s="5">
        <f t="shared" si="12"/>
        <v>4.9607781322588265E-2</v>
      </c>
      <c r="Z43" s="78">
        <f t="shared" si="13"/>
        <v>4.9607781322588265E-2</v>
      </c>
      <c r="AB43" t="str">
        <f t="shared" si="14"/>
        <v>control</v>
      </c>
      <c r="AC43" s="97">
        <f t="shared" si="15"/>
        <v>49.607781322588266</v>
      </c>
    </row>
    <row r="44" spans="2:29" x14ac:dyDescent="0.25">
      <c r="B44" s="150" t="s">
        <v>162</v>
      </c>
      <c r="E44" s="112">
        <v>29</v>
      </c>
      <c r="F44" s="24">
        <v>8387.5</v>
      </c>
      <c r="G44" s="39">
        <v>2.07E-2</v>
      </c>
      <c r="H44" s="1">
        <f t="shared" si="0"/>
        <v>2.0699999999999998</v>
      </c>
      <c r="I44" s="17" t="str">
        <f t="shared" si="1"/>
        <v>Racional</v>
      </c>
      <c r="J44" s="1">
        <v>361.5</v>
      </c>
      <c r="K44" s="15">
        <v>2837</v>
      </c>
      <c r="L44" s="15">
        <v>2794</v>
      </c>
      <c r="M44" s="17">
        <f t="shared" si="2"/>
        <v>43</v>
      </c>
      <c r="N44" s="5">
        <f t="shared" si="3"/>
        <v>4.1282343611090226</v>
      </c>
      <c r="O44" s="5">
        <f t="shared" si="4"/>
        <v>5</v>
      </c>
      <c r="P44" s="49">
        <f t="shared" si="5"/>
        <v>47.039072454260264</v>
      </c>
      <c r="Q44" s="49">
        <f t="shared" si="6"/>
        <v>161.21273002762106</v>
      </c>
      <c r="R44" s="49">
        <f t="shared" si="7"/>
        <v>104.20197999105746</v>
      </c>
      <c r="S44" s="49">
        <f t="shared" si="8"/>
        <v>148.8233439677648</v>
      </c>
      <c r="T44" s="50">
        <v>17</v>
      </c>
      <c r="U44" s="5">
        <v>0.5</v>
      </c>
      <c r="V44" s="5">
        <f t="shared" si="9"/>
        <v>0.13523733330599824</v>
      </c>
      <c r="W44" s="5">
        <f t="shared" si="10"/>
        <v>0.46348659882941051</v>
      </c>
      <c r="X44" s="5">
        <f t="shared" si="11"/>
        <v>0.29958069247429014</v>
      </c>
      <c r="Y44" s="5">
        <f t="shared" si="12"/>
        <v>0.42786711390732379</v>
      </c>
      <c r="Z44" s="78">
        <f t="shared" si="13"/>
        <v>0.42786711390732379</v>
      </c>
      <c r="AB44" t="str">
        <f t="shared" si="14"/>
        <v>control</v>
      </c>
      <c r="AC44" s="97">
        <f t="shared" si="15"/>
        <v>427.86711390732381</v>
      </c>
    </row>
    <row r="45" spans="2:29" x14ac:dyDescent="0.25">
      <c r="B45" s="150" t="s">
        <v>162</v>
      </c>
      <c r="E45" s="112">
        <v>30</v>
      </c>
      <c r="F45" s="24">
        <v>8693</v>
      </c>
      <c r="G45" s="39">
        <v>2.0199999999999999E-2</v>
      </c>
      <c r="H45" s="1">
        <f t="shared" si="0"/>
        <v>2.02</v>
      </c>
      <c r="I45" s="17" t="str">
        <f t="shared" si="1"/>
        <v>Racional</v>
      </c>
      <c r="J45" s="1">
        <v>202.8</v>
      </c>
      <c r="K45" s="15">
        <v>2840</v>
      </c>
      <c r="L45" s="15">
        <v>2764</v>
      </c>
      <c r="M45" s="17">
        <f t="shared" si="2"/>
        <v>76</v>
      </c>
      <c r="N45" s="5">
        <f t="shared" si="3"/>
        <v>1.7005322059815926</v>
      </c>
      <c r="O45" s="5">
        <f t="shared" si="4"/>
        <v>5</v>
      </c>
      <c r="P45" s="49">
        <f t="shared" si="5"/>
        <v>47.039072454260264</v>
      </c>
      <c r="Q45" s="49">
        <f t="shared" si="6"/>
        <v>161.21273002762106</v>
      </c>
      <c r="R45" s="49">
        <f t="shared" si="7"/>
        <v>104.20197999105746</v>
      </c>
      <c r="S45" s="49">
        <f t="shared" si="8"/>
        <v>148.8233439677648</v>
      </c>
      <c r="T45" s="50">
        <v>17</v>
      </c>
      <c r="U45" s="5">
        <v>0.5</v>
      </c>
      <c r="V45" s="5">
        <f t="shared" si="9"/>
        <v>0.1319707310522302</v>
      </c>
      <c r="W45" s="5">
        <f t="shared" si="10"/>
        <v>0.45229127035527017</v>
      </c>
      <c r="X45" s="5">
        <f t="shared" si="11"/>
        <v>0.2923444438638001</v>
      </c>
      <c r="Y45" s="5">
        <f t="shared" si="12"/>
        <v>0.41753215946511796</v>
      </c>
      <c r="Z45" s="78">
        <f t="shared" si="13"/>
        <v>0.41753215946511796</v>
      </c>
      <c r="AB45" t="str">
        <f t="shared" si="14"/>
        <v>control</v>
      </c>
      <c r="AC45" s="97">
        <f t="shared" si="15"/>
        <v>417.53215946511796</v>
      </c>
    </row>
    <row r="46" spans="2:29" x14ac:dyDescent="0.25">
      <c r="B46" s="150" t="s">
        <v>80</v>
      </c>
      <c r="E46" s="112">
        <v>31</v>
      </c>
      <c r="F46" s="25">
        <v>8942.2000000000007</v>
      </c>
      <c r="G46" s="80">
        <v>1.2999999999999999E-3</v>
      </c>
      <c r="H46" s="1">
        <f t="shared" si="0"/>
        <v>0.13</v>
      </c>
      <c r="I46" s="17" t="str">
        <f t="shared" si="1"/>
        <v>Racional</v>
      </c>
      <c r="J46" s="1"/>
      <c r="K46" s="15"/>
      <c r="L46" s="15"/>
      <c r="M46" s="17">
        <f t="shared" si="2"/>
        <v>0</v>
      </c>
      <c r="N46" s="5" t="e">
        <f t="shared" si="3"/>
        <v>#DIV/0!</v>
      </c>
      <c r="O46" s="5">
        <v>5</v>
      </c>
      <c r="P46" s="49">
        <f t="shared" si="5"/>
        <v>47.039072454260264</v>
      </c>
      <c r="Q46" s="49">
        <f t="shared" si="6"/>
        <v>161.21273002762106</v>
      </c>
      <c r="R46" s="49">
        <f t="shared" si="7"/>
        <v>104.20197999105746</v>
      </c>
      <c r="S46" s="49">
        <f t="shared" si="8"/>
        <v>148.8233439677648</v>
      </c>
      <c r="T46" s="50">
        <v>28</v>
      </c>
      <c r="U46" s="5">
        <v>0.5</v>
      </c>
      <c r="V46" s="5">
        <f t="shared" si="9"/>
        <v>8.4931658597969927E-3</v>
      </c>
      <c r="W46" s="5">
        <f t="shared" si="10"/>
        <v>2.9107854032764915E-2</v>
      </c>
      <c r="X46" s="5">
        <f t="shared" si="11"/>
        <v>1.8814246387274264E-2</v>
      </c>
      <c r="Y46" s="5">
        <f t="shared" si="12"/>
        <v>2.6870881549735312E-2</v>
      </c>
      <c r="Z46" s="78">
        <f t="shared" si="13"/>
        <v>2.6870881549735312E-2</v>
      </c>
      <c r="AB46" t="str">
        <f t="shared" si="14"/>
        <v>control</v>
      </c>
      <c r="AC46" s="97">
        <f t="shared" si="15"/>
        <v>26.870881549735312</v>
      </c>
    </row>
    <row r="47" spans="2:29" x14ac:dyDescent="0.25">
      <c r="B47" s="95" t="s">
        <v>80</v>
      </c>
      <c r="E47" s="112">
        <v>32</v>
      </c>
      <c r="F47" s="26">
        <v>9433</v>
      </c>
      <c r="G47" s="78">
        <v>5.7000000000000002E-3</v>
      </c>
      <c r="H47" s="1">
        <f t="shared" si="0"/>
        <v>0.57000000000000006</v>
      </c>
      <c r="I47" s="87" t="str">
        <f t="shared" si="1"/>
        <v>Racional</v>
      </c>
      <c r="J47" s="1">
        <v>250.4</v>
      </c>
      <c r="K47" s="87">
        <v>2748</v>
      </c>
      <c r="L47" s="87">
        <v>2676</v>
      </c>
      <c r="M47" s="87">
        <f t="shared" si="2"/>
        <v>72</v>
      </c>
      <c r="N47" s="5">
        <f t="shared" si="3"/>
        <v>2.215053627073345</v>
      </c>
      <c r="O47" s="5">
        <v>5</v>
      </c>
      <c r="P47" s="49">
        <f t="shared" si="5"/>
        <v>47.039072454260264</v>
      </c>
      <c r="Q47" s="49">
        <f t="shared" si="6"/>
        <v>161.21273002762106</v>
      </c>
      <c r="R47" s="49">
        <f t="shared" si="7"/>
        <v>104.20197999105746</v>
      </c>
      <c r="S47" s="49">
        <f t="shared" si="8"/>
        <v>148.8233439677648</v>
      </c>
      <c r="T47" s="50">
        <v>30</v>
      </c>
      <c r="U47" s="5">
        <v>0.5</v>
      </c>
      <c r="V47" s="5">
        <f t="shared" si="9"/>
        <v>3.7239265692956047E-2</v>
      </c>
      <c r="W47" s="5">
        <f t="shared" si="10"/>
        <v>0.12762674460520002</v>
      </c>
      <c r="X47" s="5">
        <f t="shared" si="11"/>
        <v>8.2493234159587162E-2</v>
      </c>
      <c r="Y47" s="5">
        <f t="shared" si="12"/>
        <v>0.11781848064114714</v>
      </c>
      <c r="Z47" s="78">
        <f t="shared" si="13"/>
        <v>0.11781848064114714</v>
      </c>
      <c r="AB47" t="str">
        <f t="shared" si="14"/>
        <v>control</v>
      </c>
      <c r="AC47" s="97">
        <f t="shared" si="15"/>
        <v>117.81848064114713</v>
      </c>
    </row>
    <row r="48" spans="2:29" x14ac:dyDescent="0.25">
      <c r="B48" s="150" t="s">
        <v>80</v>
      </c>
      <c r="E48" s="112">
        <v>33</v>
      </c>
      <c r="F48" s="24">
        <v>9555</v>
      </c>
      <c r="G48" s="39">
        <v>1.2999999999999999E-3</v>
      </c>
      <c r="H48" s="1">
        <f t="shared" si="0"/>
        <v>0.13</v>
      </c>
      <c r="I48" s="17" t="str">
        <f t="shared" si="1"/>
        <v>Racional</v>
      </c>
      <c r="J48" s="1">
        <v>49.1</v>
      </c>
      <c r="K48" s="15">
        <v>2673</v>
      </c>
      <c r="L48" s="15">
        <v>2660</v>
      </c>
      <c r="M48" s="17">
        <f t="shared" si="2"/>
        <v>13</v>
      </c>
      <c r="N48" s="5">
        <f t="shared" si="3"/>
        <v>0.6521770982597529</v>
      </c>
      <c r="O48" s="5">
        <f t="shared" si="4"/>
        <v>5</v>
      </c>
      <c r="P48" s="49">
        <f t="shared" si="5"/>
        <v>47.039072454260264</v>
      </c>
      <c r="Q48" s="49">
        <f t="shared" si="6"/>
        <v>161.21273002762106</v>
      </c>
      <c r="R48" s="49">
        <f t="shared" si="7"/>
        <v>104.20197999105746</v>
      </c>
      <c r="S48" s="49">
        <f t="shared" si="8"/>
        <v>148.8233439677648</v>
      </c>
      <c r="T48" s="50">
        <v>30</v>
      </c>
      <c r="U48" s="5">
        <v>0.5</v>
      </c>
      <c r="V48" s="5">
        <f t="shared" si="9"/>
        <v>8.4931658597969927E-3</v>
      </c>
      <c r="W48" s="5">
        <f t="shared" si="10"/>
        <v>2.9107854032764915E-2</v>
      </c>
      <c r="X48" s="5">
        <f t="shared" si="11"/>
        <v>1.8814246387274264E-2</v>
      </c>
      <c r="Y48" s="5">
        <f t="shared" si="12"/>
        <v>2.6870881549735312E-2</v>
      </c>
      <c r="Z48" s="78">
        <f t="shared" si="13"/>
        <v>2.6870881549735312E-2</v>
      </c>
      <c r="AB48" t="str">
        <f t="shared" si="14"/>
        <v>control</v>
      </c>
      <c r="AC48" s="97">
        <f t="shared" si="15"/>
        <v>26.870881549735312</v>
      </c>
    </row>
    <row r="49" spans="2:29" x14ac:dyDescent="0.25">
      <c r="B49" s="150" t="s">
        <v>78</v>
      </c>
      <c r="E49" s="112">
        <v>34</v>
      </c>
      <c r="F49" s="24">
        <v>9778</v>
      </c>
      <c r="G49" s="80">
        <v>6.9999999999999999E-4</v>
      </c>
      <c r="H49" s="1">
        <f t="shared" si="0"/>
        <v>6.9999999999999993E-2</v>
      </c>
      <c r="I49" s="17" t="str">
        <f t="shared" si="1"/>
        <v>Racional</v>
      </c>
      <c r="J49" s="1"/>
      <c r="K49" s="15"/>
      <c r="L49" s="15"/>
      <c r="M49" s="17">
        <f t="shared" si="2"/>
        <v>0</v>
      </c>
      <c r="N49" s="5" t="e">
        <f t="shared" si="3"/>
        <v>#DIV/0!</v>
      </c>
      <c r="O49" s="5">
        <v>5</v>
      </c>
      <c r="P49" s="49">
        <f t="shared" si="5"/>
        <v>47.039072454260264</v>
      </c>
      <c r="Q49" s="49">
        <f t="shared" si="6"/>
        <v>161.21273002762106</v>
      </c>
      <c r="R49" s="49">
        <f t="shared" si="7"/>
        <v>104.20197999105746</v>
      </c>
      <c r="S49" s="49">
        <f t="shared" si="8"/>
        <v>148.8233439677648</v>
      </c>
      <c r="T49" s="50">
        <v>30</v>
      </c>
      <c r="U49" s="5">
        <v>0.5</v>
      </c>
      <c r="V49" s="5">
        <f t="shared" si="9"/>
        <v>4.5732431552753024E-3</v>
      </c>
      <c r="W49" s="5">
        <f t="shared" si="10"/>
        <v>1.567345986379649E-2</v>
      </c>
      <c r="X49" s="5">
        <f t="shared" si="11"/>
        <v>1.0130748054686139E-2</v>
      </c>
      <c r="Y49" s="5">
        <f t="shared" si="12"/>
        <v>1.4468936219088244E-2</v>
      </c>
      <c r="Z49" s="78">
        <f t="shared" si="13"/>
        <v>1.4468936219088244E-2</v>
      </c>
      <c r="AB49" t="str">
        <f t="shared" si="14"/>
        <v>control</v>
      </c>
      <c r="AC49" s="97">
        <f t="shared" si="15"/>
        <v>14.468936219088244</v>
      </c>
    </row>
    <row r="50" spans="2:29" x14ac:dyDescent="0.25">
      <c r="B50" s="150" t="s">
        <v>162</v>
      </c>
      <c r="E50" s="112">
        <v>35</v>
      </c>
      <c r="F50" s="24">
        <v>10468.5</v>
      </c>
      <c r="G50" s="39">
        <v>9.1999999999999998E-3</v>
      </c>
      <c r="H50" s="1">
        <f t="shared" si="0"/>
        <v>0.91999999999999993</v>
      </c>
      <c r="I50" s="17" t="str">
        <f t="shared" si="1"/>
        <v>Racional</v>
      </c>
      <c r="J50" s="1">
        <v>148.9</v>
      </c>
      <c r="K50" s="15">
        <v>2622</v>
      </c>
      <c r="L50" s="15">
        <v>2582</v>
      </c>
      <c r="M50" s="17">
        <f t="shared" si="2"/>
        <v>40</v>
      </c>
      <c r="N50" s="5">
        <f t="shared" si="3"/>
        <v>1.5238242850532915</v>
      </c>
      <c r="O50" s="5">
        <f t="shared" si="4"/>
        <v>5</v>
      </c>
      <c r="P50" s="49">
        <f t="shared" si="5"/>
        <v>47.039072454260264</v>
      </c>
      <c r="Q50" s="49">
        <f t="shared" si="6"/>
        <v>161.21273002762106</v>
      </c>
      <c r="R50" s="49">
        <f t="shared" si="7"/>
        <v>104.20197999105746</v>
      </c>
      <c r="S50" s="49">
        <f t="shared" si="8"/>
        <v>148.8233439677648</v>
      </c>
      <c r="T50" s="50">
        <v>25</v>
      </c>
      <c r="U50" s="5">
        <v>0.5</v>
      </c>
      <c r="V50" s="5">
        <f t="shared" si="9"/>
        <v>6.0105481469332554E-2</v>
      </c>
      <c r="W50" s="5">
        <f t="shared" si="10"/>
        <v>0.20599404392418244</v>
      </c>
      <c r="X50" s="5">
        <f t="shared" si="11"/>
        <v>0.13314697443301785</v>
      </c>
      <c r="Y50" s="5">
        <f t="shared" si="12"/>
        <v>0.19016316173658834</v>
      </c>
      <c r="Z50" s="78">
        <f t="shared" si="13"/>
        <v>0.19016316173658834</v>
      </c>
      <c r="AB50" t="str">
        <f t="shared" si="14"/>
        <v>control</v>
      </c>
      <c r="AC50" s="97">
        <f t="shared" si="15"/>
        <v>190.16316173658834</v>
      </c>
    </row>
    <row r="51" spans="2:29" x14ac:dyDescent="0.25">
      <c r="B51" s="150" t="s">
        <v>80</v>
      </c>
      <c r="E51" s="112">
        <v>36</v>
      </c>
      <c r="F51" s="26">
        <v>10665</v>
      </c>
      <c r="G51" s="39">
        <v>1.29E-2</v>
      </c>
      <c r="H51" s="1">
        <f t="shared" si="0"/>
        <v>1.29</v>
      </c>
      <c r="I51" s="17" t="str">
        <f t="shared" si="1"/>
        <v>Racional</v>
      </c>
      <c r="J51" s="1">
        <v>174.5</v>
      </c>
      <c r="K51" s="15">
        <v>2620</v>
      </c>
      <c r="L51" s="15">
        <v>2549</v>
      </c>
      <c r="M51" s="17">
        <f t="shared" si="2"/>
        <v>71</v>
      </c>
      <c r="N51" s="5">
        <f t="shared" si="3"/>
        <v>1.4674856740467237</v>
      </c>
      <c r="O51" s="5">
        <f t="shared" si="4"/>
        <v>5</v>
      </c>
      <c r="P51" s="49">
        <f t="shared" si="5"/>
        <v>47.039072454260264</v>
      </c>
      <c r="Q51" s="49">
        <f t="shared" si="6"/>
        <v>161.21273002762106</v>
      </c>
      <c r="R51" s="49">
        <f t="shared" si="7"/>
        <v>104.20197999105746</v>
      </c>
      <c r="S51" s="49">
        <f t="shared" si="8"/>
        <v>148.8233439677648</v>
      </c>
      <c r="T51" s="50">
        <v>40</v>
      </c>
      <c r="U51" s="5">
        <v>0.55000000000000004</v>
      </c>
      <c r="V51" s="5">
        <f t="shared" si="9"/>
        <v>9.270617196193795E-2</v>
      </c>
      <c r="W51" s="5">
        <f t="shared" si="10"/>
        <v>0.31772342209610316</v>
      </c>
      <c r="X51" s="5">
        <f t="shared" si="11"/>
        <v>0.20536473556570908</v>
      </c>
      <c r="Y51" s="5">
        <f t="shared" si="12"/>
        <v>0.29330600706980314</v>
      </c>
      <c r="Z51" s="78">
        <f>X51</f>
        <v>0.20536473556570908</v>
      </c>
      <c r="AB51" t="str">
        <f t="shared" si="14"/>
        <v>control</v>
      </c>
      <c r="AC51" s="97">
        <f t="shared" si="15"/>
        <v>205.36473556570908</v>
      </c>
    </row>
    <row r="52" spans="2:29" x14ac:dyDescent="0.25">
      <c r="B52" s="150" t="s">
        <v>80</v>
      </c>
      <c r="E52" s="112">
        <v>37</v>
      </c>
      <c r="F52" s="24">
        <v>10985.5</v>
      </c>
      <c r="G52" s="39">
        <v>2.0999999999999999E-3</v>
      </c>
      <c r="H52" s="1">
        <f t="shared" si="0"/>
        <v>0.21</v>
      </c>
      <c r="I52" s="17" t="str">
        <f t="shared" si="1"/>
        <v>Racional</v>
      </c>
      <c r="J52" s="1">
        <v>68.7</v>
      </c>
      <c r="K52" s="15">
        <v>2521</v>
      </c>
      <c r="L52" s="15">
        <v>2497</v>
      </c>
      <c r="M52" s="17">
        <f t="shared" si="2"/>
        <v>24</v>
      </c>
      <c r="N52" s="5">
        <f t="shared" si="3"/>
        <v>0.75916873579981914</v>
      </c>
      <c r="O52" s="5">
        <f t="shared" si="4"/>
        <v>5</v>
      </c>
      <c r="P52" s="49">
        <f t="shared" si="5"/>
        <v>47.039072454260264</v>
      </c>
      <c r="Q52" s="49">
        <f t="shared" si="6"/>
        <v>161.21273002762106</v>
      </c>
      <c r="R52" s="49">
        <f t="shared" si="7"/>
        <v>104.20197999105746</v>
      </c>
      <c r="S52" s="49">
        <f t="shared" si="8"/>
        <v>148.8233439677648</v>
      </c>
      <c r="T52" s="50">
        <v>35</v>
      </c>
      <c r="U52" s="5">
        <v>0.55000000000000004</v>
      </c>
      <c r="V52" s="5">
        <f t="shared" si="9"/>
        <v>1.5091702412408502E-2</v>
      </c>
      <c r="W52" s="5">
        <f t="shared" si="10"/>
        <v>5.1722417550528428E-2</v>
      </c>
      <c r="X52" s="5">
        <f t="shared" si="11"/>
        <v>3.3431468580464273E-2</v>
      </c>
      <c r="Y52" s="5">
        <f t="shared" si="12"/>
        <v>4.774748952299121E-2</v>
      </c>
      <c r="Z52" s="78">
        <f>X52</f>
        <v>3.3431468580464273E-2</v>
      </c>
      <c r="AA52" t="s">
        <v>163</v>
      </c>
      <c r="AB52" t="str">
        <f t="shared" si="14"/>
        <v>control</v>
      </c>
      <c r="AC52" s="97">
        <f t="shared" si="15"/>
        <v>33.431468580464269</v>
      </c>
    </row>
    <row r="53" spans="2:29" x14ac:dyDescent="0.25">
      <c r="B53" s="150" t="s">
        <v>80</v>
      </c>
      <c r="E53" s="112">
        <v>38</v>
      </c>
      <c r="F53" s="24">
        <v>11095</v>
      </c>
      <c r="G53" s="39">
        <v>2.8E-3</v>
      </c>
      <c r="H53" s="1">
        <f t="shared" si="0"/>
        <v>0.27999999999999997</v>
      </c>
      <c r="I53" s="17" t="str">
        <f t="shared" si="1"/>
        <v>Racional</v>
      </c>
      <c r="J53" s="1">
        <v>54.92</v>
      </c>
      <c r="K53" s="15">
        <v>2504</v>
      </c>
      <c r="L53" s="15">
        <v>2481</v>
      </c>
      <c r="M53" s="17">
        <f t="shared" si="2"/>
        <v>23</v>
      </c>
      <c r="N53" s="5">
        <f t="shared" si="3"/>
        <v>0.59587910252484544</v>
      </c>
      <c r="O53" s="5">
        <f t="shared" si="4"/>
        <v>5</v>
      </c>
      <c r="P53" s="49">
        <f t="shared" si="5"/>
        <v>47.039072454260264</v>
      </c>
      <c r="Q53" s="49">
        <f t="shared" si="6"/>
        <v>161.21273002762106</v>
      </c>
      <c r="R53" s="49">
        <f t="shared" si="7"/>
        <v>104.20197999105746</v>
      </c>
      <c r="S53" s="49">
        <f t="shared" si="8"/>
        <v>148.8233439677648</v>
      </c>
      <c r="T53" s="50">
        <v>19</v>
      </c>
      <c r="U53" s="5">
        <v>0.5</v>
      </c>
      <c r="V53" s="5">
        <f t="shared" si="9"/>
        <v>1.829297262110121E-2</v>
      </c>
      <c r="W53" s="5">
        <f t="shared" si="10"/>
        <v>6.269383945518596E-2</v>
      </c>
      <c r="X53" s="5">
        <f t="shared" si="11"/>
        <v>4.0522992218744558E-2</v>
      </c>
      <c r="Y53" s="5">
        <f t="shared" si="12"/>
        <v>5.7875744876352976E-2</v>
      </c>
      <c r="Z53" s="78">
        <f>X53</f>
        <v>4.0522992218744558E-2</v>
      </c>
      <c r="AA53" s="96">
        <f>Z53+Z52</f>
        <v>7.3954460799208838E-2</v>
      </c>
      <c r="AB53" t="str">
        <f t="shared" si="14"/>
        <v>control</v>
      </c>
      <c r="AC53" s="97">
        <f>AA53*1000</f>
        <v>73.954460799208832</v>
      </c>
    </row>
    <row r="54" spans="2:29" x14ac:dyDescent="0.25">
      <c r="B54" s="150" t="s">
        <v>162</v>
      </c>
      <c r="E54" s="112">
        <v>39</v>
      </c>
      <c r="F54" s="24">
        <v>11531.2</v>
      </c>
      <c r="G54" s="39">
        <v>1.1299999999999999E-2</v>
      </c>
      <c r="H54" s="1">
        <f t="shared" si="0"/>
        <v>1.1299999999999999</v>
      </c>
      <c r="I54" s="17" t="str">
        <f t="shared" si="1"/>
        <v>Racional</v>
      </c>
      <c r="J54" s="1">
        <v>145.30000000000001</v>
      </c>
      <c r="K54" s="15">
        <v>2449</v>
      </c>
      <c r="L54" s="15">
        <v>2424</v>
      </c>
      <c r="M54" s="17">
        <f t="shared" si="2"/>
        <v>25</v>
      </c>
      <c r="N54" s="5">
        <f t="shared" si="3"/>
        <v>1.7751885684457742</v>
      </c>
      <c r="O54" s="5">
        <f t="shared" si="4"/>
        <v>5</v>
      </c>
      <c r="P54" s="49">
        <f t="shared" si="5"/>
        <v>47.039072454260264</v>
      </c>
      <c r="Q54" s="49">
        <f t="shared" si="6"/>
        <v>161.21273002762106</v>
      </c>
      <c r="R54" s="49">
        <f t="shared" si="7"/>
        <v>104.20197999105746</v>
      </c>
      <c r="S54" s="49">
        <f t="shared" si="8"/>
        <v>148.8233439677648</v>
      </c>
      <c r="T54" s="50">
        <v>27</v>
      </c>
      <c r="U54" s="5">
        <v>0.5</v>
      </c>
      <c r="V54" s="5">
        <f t="shared" si="9"/>
        <v>7.3825210935158467E-2</v>
      </c>
      <c r="W54" s="5">
        <f t="shared" si="10"/>
        <v>0.25301442351557191</v>
      </c>
      <c r="X54" s="5">
        <f t="shared" si="11"/>
        <v>0.16353921859707626</v>
      </c>
      <c r="Y54" s="5">
        <f t="shared" si="12"/>
        <v>0.23356997039385305</v>
      </c>
      <c r="Z54" s="78">
        <f t="shared" ref="Z54:Z119" si="16">X54</f>
        <v>0.16353921859707626</v>
      </c>
      <c r="AA54" t="s">
        <v>163</v>
      </c>
      <c r="AB54" t="str">
        <f t="shared" si="14"/>
        <v>control</v>
      </c>
      <c r="AC54" s="97">
        <f t="shared" si="15"/>
        <v>163.53921859707626</v>
      </c>
    </row>
    <row r="55" spans="2:29" x14ac:dyDescent="0.25">
      <c r="B55" s="150" t="s">
        <v>80</v>
      </c>
      <c r="E55" s="112">
        <v>40</v>
      </c>
      <c r="F55" s="24">
        <v>11621.9</v>
      </c>
      <c r="G55" s="39">
        <v>2.8999999999999998E-3</v>
      </c>
      <c r="H55" s="1">
        <f t="shared" si="0"/>
        <v>0.28999999999999998</v>
      </c>
      <c r="I55" s="17" t="str">
        <f t="shared" si="1"/>
        <v>Racional</v>
      </c>
      <c r="J55" s="1">
        <v>74.900000000000006</v>
      </c>
      <c r="K55" s="42">
        <v>2428</v>
      </c>
      <c r="L55" s="15">
        <v>2409</v>
      </c>
      <c r="M55" s="17">
        <f t="shared" si="2"/>
        <v>19</v>
      </c>
      <c r="N55" s="5">
        <f t="shared" si="3"/>
        <v>0.91778504015093854</v>
      </c>
      <c r="O55" s="5">
        <f t="shared" si="4"/>
        <v>5</v>
      </c>
      <c r="P55" s="49">
        <f t="shared" si="5"/>
        <v>47.039072454260264</v>
      </c>
      <c r="Q55" s="49">
        <f t="shared" si="6"/>
        <v>161.21273002762106</v>
      </c>
      <c r="R55" s="49">
        <f t="shared" si="7"/>
        <v>104.20197999105746</v>
      </c>
      <c r="S55" s="49">
        <f t="shared" si="8"/>
        <v>148.8233439677648</v>
      </c>
      <c r="T55" s="50">
        <v>27</v>
      </c>
      <c r="U55" s="5">
        <v>0.5</v>
      </c>
      <c r="V55" s="5">
        <f t="shared" si="9"/>
        <v>1.8946293071854827E-2</v>
      </c>
      <c r="W55" s="5">
        <f t="shared" si="10"/>
        <v>6.4932905150014042E-2</v>
      </c>
      <c r="X55" s="5">
        <f t="shared" si="11"/>
        <v>4.1970241940842583E-2</v>
      </c>
      <c r="Y55" s="5">
        <f t="shared" si="12"/>
        <v>5.9942735764794149E-2</v>
      </c>
      <c r="Z55" s="78">
        <f t="shared" si="16"/>
        <v>4.1970241940842583E-2</v>
      </c>
      <c r="AA55" s="96">
        <f>Z55+Z54</f>
        <v>0.20550946053791885</v>
      </c>
      <c r="AB55" t="str">
        <f t="shared" si="14"/>
        <v>control</v>
      </c>
      <c r="AC55" s="97">
        <f>AA55*1000</f>
        <v>205.50946053791884</v>
      </c>
    </row>
    <row r="56" spans="2:29" x14ac:dyDescent="0.25">
      <c r="B56" s="150" t="s">
        <v>162</v>
      </c>
      <c r="E56" s="112">
        <v>41</v>
      </c>
      <c r="F56" s="24">
        <v>11700</v>
      </c>
      <c r="G56" s="39">
        <v>1.4E-3</v>
      </c>
      <c r="H56" s="1">
        <f t="shared" si="0"/>
        <v>0.13999999999999999</v>
      </c>
      <c r="I56" s="17" t="str">
        <f t="shared" si="1"/>
        <v>Racional</v>
      </c>
      <c r="J56" s="1">
        <v>73.7</v>
      </c>
      <c r="K56" s="15">
        <v>2412</v>
      </c>
      <c r="L56" s="15">
        <v>2397</v>
      </c>
      <c r="M56" s="17">
        <f t="shared" si="2"/>
        <v>15</v>
      </c>
      <c r="N56" s="5">
        <f t="shared" si="3"/>
        <v>0.98665296449351358</v>
      </c>
      <c r="O56" s="5">
        <f t="shared" si="4"/>
        <v>5</v>
      </c>
      <c r="P56" s="49">
        <f t="shared" si="5"/>
        <v>47.039072454260264</v>
      </c>
      <c r="Q56" s="49">
        <f t="shared" si="6"/>
        <v>161.21273002762106</v>
      </c>
      <c r="R56" s="49">
        <f t="shared" si="7"/>
        <v>104.20197999105746</v>
      </c>
      <c r="S56" s="49">
        <f t="shared" si="8"/>
        <v>148.8233439677648</v>
      </c>
      <c r="T56" s="50">
        <v>27</v>
      </c>
      <c r="U56" s="5">
        <v>0.5</v>
      </c>
      <c r="V56" s="5">
        <f t="shared" si="9"/>
        <v>9.1464863105506049E-3</v>
      </c>
      <c r="W56" s="5">
        <f t="shared" si="10"/>
        <v>3.134691972759298E-2</v>
      </c>
      <c r="X56" s="5">
        <f t="shared" si="11"/>
        <v>2.0261496109372279E-2</v>
      </c>
      <c r="Y56" s="5">
        <f t="shared" si="12"/>
        <v>2.8937872438176488E-2</v>
      </c>
      <c r="Z56" s="78">
        <f t="shared" si="16"/>
        <v>2.0261496109372279E-2</v>
      </c>
      <c r="AA56" s="96">
        <f>Z56+AA55</f>
        <v>0.22577095664729113</v>
      </c>
      <c r="AB56" t="str">
        <f t="shared" si="14"/>
        <v>control</v>
      </c>
      <c r="AC56" s="97">
        <f>AA56*1000</f>
        <v>225.77095664729114</v>
      </c>
    </row>
    <row r="57" spans="2:29" x14ac:dyDescent="0.25">
      <c r="B57" s="150" t="s">
        <v>80</v>
      </c>
      <c r="E57" s="112">
        <v>42</v>
      </c>
      <c r="F57" s="24">
        <v>11990</v>
      </c>
      <c r="G57" s="39">
        <v>1.14E-2</v>
      </c>
      <c r="H57" s="1">
        <f t="shared" si="0"/>
        <v>1.1400000000000001</v>
      </c>
      <c r="I57" s="17" t="str">
        <f t="shared" si="1"/>
        <v>Racional</v>
      </c>
      <c r="J57" s="1">
        <v>252.4</v>
      </c>
      <c r="K57" s="15">
        <v>2412</v>
      </c>
      <c r="L57" s="15">
        <v>2368</v>
      </c>
      <c r="M57" s="17">
        <f t="shared" si="2"/>
        <v>44</v>
      </c>
      <c r="N57" s="5">
        <f t="shared" si="3"/>
        <v>2.7022064782776218</v>
      </c>
      <c r="O57" s="5">
        <f t="shared" si="4"/>
        <v>5</v>
      </c>
      <c r="P57" s="49">
        <f t="shared" si="5"/>
        <v>47.039072454260264</v>
      </c>
      <c r="Q57" s="49">
        <f t="shared" si="6"/>
        <v>161.21273002762106</v>
      </c>
      <c r="R57" s="49">
        <f t="shared" si="7"/>
        <v>104.20197999105746</v>
      </c>
      <c r="S57" s="49">
        <f t="shared" si="8"/>
        <v>148.8233439677648</v>
      </c>
      <c r="T57" s="50">
        <v>31</v>
      </c>
      <c r="U57" s="5">
        <v>0.5</v>
      </c>
      <c r="V57" s="5">
        <f t="shared" si="9"/>
        <v>7.4478531385912095E-2</v>
      </c>
      <c r="W57" s="5">
        <f t="shared" si="10"/>
        <v>0.25525348921040003</v>
      </c>
      <c r="X57" s="5">
        <f t="shared" si="11"/>
        <v>0.16498646831917432</v>
      </c>
      <c r="Y57" s="5">
        <f t="shared" si="12"/>
        <v>0.23563696128229428</v>
      </c>
      <c r="Z57" s="78">
        <f t="shared" si="16"/>
        <v>0.16498646831917432</v>
      </c>
      <c r="AB57" t="str">
        <f t="shared" si="14"/>
        <v>control</v>
      </c>
      <c r="AC57" s="97">
        <f t="shared" si="15"/>
        <v>164.98646831917432</v>
      </c>
    </row>
    <row r="58" spans="2:29" x14ac:dyDescent="0.25">
      <c r="B58" s="150" t="s">
        <v>80</v>
      </c>
      <c r="E58" s="112">
        <v>43</v>
      </c>
      <c r="F58" s="24">
        <v>12214</v>
      </c>
      <c r="G58" s="39">
        <v>1.8E-3</v>
      </c>
      <c r="H58" s="1">
        <f t="shared" si="0"/>
        <v>0.18</v>
      </c>
      <c r="I58" s="17" t="str">
        <f t="shared" si="1"/>
        <v>Racional</v>
      </c>
      <c r="J58" s="1">
        <v>48.1</v>
      </c>
      <c r="K58" s="15">
        <v>2354</v>
      </c>
      <c r="L58" s="15">
        <v>2331</v>
      </c>
      <c r="M58" s="17">
        <f t="shared" si="2"/>
        <v>23</v>
      </c>
      <c r="N58" s="5">
        <f t="shared" si="3"/>
        <v>0.51126605332002684</v>
      </c>
      <c r="O58" s="5">
        <f t="shared" si="4"/>
        <v>5</v>
      </c>
      <c r="P58" s="49">
        <f t="shared" si="5"/>
        <v>47.039072454260264</v>
      </c>
      <c r="Q58" s="49">
        <f t="shared" si="6"/>
        <v>161.21273002762106</v>
      </c>
      <c r="R58" s="49">
        <f t="shared" si="7"/>
        <v>104.20197999105746</v>
      </c>
      <c r="S58" s="49">
        <f t="shared" si="8"/>
        <v>148.8233439677648</v>
      </c>
      <c r="T58" s="50">
        <v>32</v>
      </c>
      <c r="U58" s="5">
        <v>0.5</v>
      </c>
      <c r="V58" s="5">
        <f t="shared" si="9"/>
        <v>1.1759768113565066E-2</v>
      </c>
      <c r="W58" s="5">
        <f t="shared" si="10"/>
        <v>4.0303182506905268E-2</v>
      </c>
      <c r="X58" s="5">
        <f t="shared" si="11"/>
        <v>2.6050494997764365E-2</v>
      </c>
      <c r="Y58" s="5">
        <f t="shared" si="12"/>
        <v>3.7205835991941202E-2</v>
      </c>
      <c r="Z58" s="78">
        <f t="shared" si="16"/>
        <v>2.6050494997764365E-2</v>
      </c>
      <c r="AB58" t="str">
        <f t="shared" si="14"/>
        <v>control</v>
      </c>
      <c r="AC58" s="97">
        <f t="shared" si="15"/>
        <v>26.050494997764364</v>
      </c>
    </row>
    <row r="59" spans="2:29" x14ac:dyDescent="0.25">
      <c r="B59" s="150" t="s">
        <v>79</v>
      </c>
      <c r="E59" s="112">
        <v>44</v>
      </c>
      <c r="F59" s="24">
        <v>12316.7</v>
      </c>
      <c r="G59" s="39">
        <v>0.32640000000000002</v>
      </c>
      <c r="H59" s="1">
        <f t="shared" si="0"/>
        <v>32.64</v>
      </c>
      <c r="I59" s="17" t="str">
        <f t="shared" si="1"/>
        <v>Racional</v>
      </c>
      <c r="J59" s="1">
        <v>807.3</v>
      </c>
      <c r="K59" s="15">
        <v>2641</v>
      </c>
      <c r="L59" s="15">
        <v>2313</v>
      </c>
      <c r="M59" s="17">
        <f t="shared" si="2"/>
        <v>328</v>
      </c>
      <c r="N59" s="5">
        <f t="shared" si="3"/>
        <v>4.7758266169744772</v>
      </c>
      <c r="O59" s="5">
        <f t="shared" si="4"/>
        <v>5</v>
      </c>
      <c r="P59" s="49">
        <f t="shared" si="5"/>
        <v>47.039072454260264</v>
      </c>
      <c r="Q59" s="49">
        <f t="shared" si="6"/>
        <v>161.21273002762106</v>
      </c>
      <c r="R59" s="49">
        <f t="shared" si="7"/>
        <v>104.20197999105746</v>
      </c>
      <c r="S59" s="49">
        <f t="shared" si="8"/>
        <v>148.8233439677648</v>
      </c>
      <c r="T59" s="50">
        <v>30</v>
      </c>
      <c r="U59" s="5">
        <v>0.5</v>
      </c>
      <c r="V59" s="5">
        <f t="shared" si="9"/>
        <v>2.1324379512597988</v>
      </c>
      <c r="W59" s="5">
        <f t="shared" si="10"/>
        <v>7.3083104279188218</v>
      </c>
      <c r="X59" s="5">
        <f t="shared" si="11"/>
        <v>4.7238230929279386</v>
      </c>
      <c r="Y59" s="5">
        <f t="shared" si="12"/>
        <v>6.746658259872004</v>
      </c>
      <c r="Z59" s="78">
        <f t="shared" si="16"/>
        <v>4.7238230929279386</v>
      </c>
      <c r="AB59" t="str">
        <f t="shared" si="14"/>
        <v>0bligada</v>
      </c>
      <c r="AC59" s="97">
        <f t="shared" si="15"/>
        <v>4723.8230929279389</v>
      </c>
    </row>
    <row r="60" spans="2:29" x14ac:dyDescent="0.25">
      <c r="B60" s="150" t="s">
        <v>80</v>
      </c>
      <c r="E60" s="112">
        <v>45</v>
      </c>
      <c r="F60" s="24">
        <v>12600</v>
      </c>
      <c r="G60" s="39">
        <v>0.1009</v>
      </c>
      <c r="H60" s="1">
        <f t="shared" si="0"/>
        <v>10.09</v>
      </c>
      <c r="I60" s="17" t="str">
        <f t="shared" si="1"/>
        <v>Racional</v>
      </c>
      <c r="J60" s="1">
        <v>837.1</v>
      </c>
      <c r="K60" s="42">
        <v>2560</v>
      </c>
      <c r="L60" s="42">
        <v>2273</v>
      </c>
      <c r="M60" s="17">
        <f t="shared" si="2"/>
        <v>287</v>
      </c>
      <c r="N60" s="5">
        <f t="shared" si="3"/>
        <v>5.2427350565861239</v>
      </c>
      <c r="O60" s="5">
        <f t="shared" si="4"/>
        <v>5.2427350565861239</v>
      </c>
      <c r="P60" s="49">
        <f t="shared" si="5"/>
        <v>46.284787405371851</v>
      </c>
      <c r="Q60" s="49">
        <f t="shared" si="6"/>
        <v>158.62763755861971</v>
      </c>
      <c r="R60" s="49">
        <f t="shared" si="7"/>
        <v>101.80795656724148</v>
      </c>
      <c r="S60" s="49">
        <f t="shared" si="8"/>
        <v>144.69247973568551</v>
      </c>
      <c r="T60" s="50">
        <v>30</v>
      </c>
      <c r="U60" s="5">
        <v>0.5</v>
      </c>
      <c r="V60" s="5">
        <f t="shared" si="9"/>
        <v>0.64862986794472499</v>
      </c>
      <c r="W60" s="5">
        <f t="shared" si="10"/>
        <v>2.2229900874534345</v>
      </c>
      <c r="X60" s="5">
        <f t="shared" si="11"/>
        <v>1.4267253913381479</v>
      </c>
      <c r="Y60" s="5">
        <f t="shared" si="12"/>
        <v>2.0277043340737038</v>
      </c>
      <c r="Z60" s="78">
        <f t="shared" si="16"/>
        <v>1.4267253913381479</v>
      </c>
      <c r="AB60" t="str">
        <f t="shared" si="14"/>
        <v>control</v>
      </c>
      <c r="AC60" s="97">
        <f t="shared" si="15"/>
        <v>1426.7253913381478</v>
      </c>
    </row>
    <row r="61" spans="2:29" x14ac:dyDescent="0.25">
      <c r="B61" s="111" t="s">
        <v>166</v>
      </c>
      <c r="E61" s="112">
        <v>46</v>
      </c>
      <c r="F61" s="24">
        <v>12880.9</v>
      </c>
      <c r="G61" s="39">
        <v>0.49409999999999998</v>
      </c>
      <c r="H61" s="1">
        <f t="shared" si="0"/>
        <v>49.41</v>
      </c>
      <c r="I61" s="17" t="str">
        <f t="shared" si="1"/>
        <v>Racional</v>
      </c>
      <c r="J61" s="1">
        <v>1152.8</v>
      </c>
      <c r="K61" s="15">
        <v>2641</v>
      </c>
      <c r="L61" s="15">
        <v>2238</v>
      </c>
      <c r="M61" s="17">
        <f t="shared" si="2"/>
        <v>403</v>
      </c>
      <c r="N61" s="5">
        <f t="shared" si="3"/>
        <v>6.6576046443639365</v>
      </c>
      <c r="O61" s="5">
        <f t="shared" si="4"/>
        <v>6.6576046443639365</v>
      </c>
      <c r="P61" s="49">
        <f t="shared" si="5"/>
        <v>42.663460854927614</v>
      </c>
      <c r="Q61" s="49">
        <f t="shared" si="6"/>
        <v>146.21659480078679</v>
      </c>
      <c r="R61" s="49">
        <f t="shared" si="7"/>
        <v>90.554106202914099</v>
      </c>
      <c r="S61" s="49">
        <f t="shared" si="8"/>
        <v>125.55477033533234</v>
      </c>
      <c r="T61" s="50">
        <v>26</v>
      </c>
      <c r="U61" s="5">
        <v>0.5</v>
      </c>
      <c r="V61" s="5">
        <f t="shared" si="9"/>
        <v>2.9277800011694075</v>
      </c>
      <c r="W61" s="5">
        <f t="shared" si="10"/>
        <v>10.034113818203993</v>
      </c>
      <c r="X61" s="5">
        <f t="shared" si="11"/>
        <v>6.214275538174979</v>
      </c>
      <c r="Y61" s="5">
        <f t="shared" si="12"/>
        <v>8.6161961142621806</v>
      </c>
      <c r="Z61" s="78">
        <f t="shared" si="16"/>
        <v>6.214275538174979</v>
      </c>
      <c r="AB61" t="str">
        <f t="shared" si="14"/>
        <v>0bligada</v>
      </c>
      <c r="AC61" s="97">
        <f t="shared" si="15"/>
        <v>6214.2755381749794</v>
      </c>
    </row>
    <row r="62" spans="2:29" x14ac:dyDescent="0.25">
      <c r="B62" s="150" t="s">
        <v>80</v>
      </c>
      <c r="E62" s="112">
        <v>47</v>
      </c>
      <c r="F62" s="26">
        <v>13360</v>
      </c>
      <c r="G62" s="39">
        <v>3.0700000000000002E-2</v>
      </c>
      <c r="H62" s="1">
        <f t="shared" si="0"/>
        <v>3.0700000000000003</v>
      </c>
      <c r="I62" s="17" t="str">
        <f t="shared" si="1"/>
        <v>Racional</v>
      </c>
      <c r="J62" s="1">
        <v>355.7</v>
      </c>
      <c r="K62" s="15">
        <v>2259</v>
      </c>
      <c r="L62" s="15">
        <v>2183</v>
      </c>
      <c r="M62" s="17">
        <f t="shared" si="2"/>
        <v>76</v>
      </c>
      <c r="N62" s="5">
        <f t="shared" si="3"/>
        <v>3.2540426633852486</v>
      </c>
      <c r="O62" s="5">
        <f t="shared" si="4"/>
        <v>5</v>
      </c>
      <c r="P62" s="49">
        <f t="shared" si="5"/>
        <v>47.039072454260264</v>
      </c>
      <c r="Q62" s="49">
        <f t="shared" si="6"/>
        <v>161.21273002762106</v>
      </c>
      <c r="R62" s="49">
        <f t="shared" si="7"/>
        <v>104.20197999105746</v>
      </c>
      <c r="S62" s="49">
        <f t="shared" si="8"/>
        <v>148.8233439677648</v>
      </c>
      <c r="T62" s="50">
        <v>13</v>
      </c>
      <c r="U62" s="5">
        <v>0.5</v>
      </c>
      <c r="V62" s="5">
        <f t="shared" si="9"/>
        <v>0.20056937838135977</v>
      </c>
      <c r="W62" s="5">
        <f t="shared" si="10"/>
        <v>0.68739316831221764</v>
      </c>
      <c r="X62" s="5">
        <f t="shared" si="11"/>
        <v>0.44430566468409227</v>
      </c>
      <c r="Y62" s="5">
        <f t="shared" si="12"/>
        <v>0.6345662027514416</v>
      </c>
      <c r="Z62" s="78">
        <f t="shared" si="16"/>
        <v>0.44430566468409227</v>
      </c>
      <c r="AB62" t="str">
        <f t="shared" si="14"/>
        <v>control</v>
      </c>
      <c r="AC62" s="97">
        <f t="shared" si="15"/>
        <v>444.30566468409228</v>
      </c>
    </row>
    <row r="63" spans="2:29" x14ac:dyDescent="0.25">
      <c r="B63" s="150" t="s">
        <v>162</v>
      </c>
      <c r="E63" s="112">
        <v>48</v>
      </c>
      <c r="F63" s="24">
        <v>13805.4</v>
      </c>
      <c r="G63" s="39">
        <v>4.7399999999999998E-2</v>
      </c>
      <c r="H63" s="1">
        <f t="shared" si="0"/>
        <v>4.74</v>
      </c>
      <c r="I63" s="17" t="str">
        <f t="shared" si="1"/>
        <v>Racional</v>
      </c>
      <c r="J63" s="1">
        <v>320.60000000000002</v>
      </c>
      <c r="K63" s="15">
        <v>2240</v>
      </c>
      <c r="L63" s="15">
        <v>2117</v>
      </c>
      <c r="M63" s="17">
        <f t="shared" si="2"/>
        <v>123</v>
      </c>
      <c r="N63" s="5">
        <f t="shared" si="3"/>
        <v>2.3977781966169895</v>
      </c>
      <c r="O63" s="5">
        <f t="shared" si="4"/>
        <v>5</v>
      </c>
      <c r="P63" s="49">
        <f t="shared" si="5"/>
        <v>47.039072454260264</v>
      </c>
      <c r="Q63" s="49">
        <f t="shared" si="6"/>
        <v>161.21273002762106</v>
      </c>
      <c r="R63" s="49">
        <f t="shared" si="7"/>
        <v>104.20197999105746</v>
      </c>
      <c r="S63" s="49">
        <f t="shared" si="8"/>
        <v>148.8233439677648</v>
      </c>
      <c r="T63" s="50">
        <v>40</v>
      </c>
      <c r="U63" s="5">
        <v>0.55000000000000004</v>
      </c>
      <c r="V63" s="5">
        <f t="shared" si="9"/>
        <v>0.34064128302293478</v>
      </c>
      <c r="W63" s="5">
        <f t="shared" si="10"/>
        <v>1.167448853283356</v>
      </c>
      <c r="X63" s="5">
        <f t="shared" si="11"/>
        <v>0.75459600510190783</v>
      </c>
      <c r="Y63" s="5">
        <f t="shared" si="12"/>
        <v>1.0777290492332301</v>
      </c>
      <c r="Z63" s="78">
        <f t="shared" si="16"/>
        <v>0.75459600510190783</v>
      </c>
      <c r="AB63" t="str">
        <f t="shared" si="14"/>
        <v>control</v>
      </c>
      <c r="AC63" s="97">
        <f t="shared" si="15"/>
        <v>754.59600510190785</v>
      </c>
    </row>
    <row r="64" spans="2:29" x14ac:dyDescent="0.25">
      <c r="B64" s="150" t="s">
        <v>162</v>
      </c>
      <c r="E64" s="112">
        <v>49</v>
      </c>
      <c r="F64" s="24">
        <v>14070</v>
      </c>
      <c r="G64" s="39">
        <v>3.1600000000000003E-2</v>
      </c>
      <c r="H64" s="1">
        <f t="shared" si="0"/>
        <v>3.16</v>
      </c>
      <c r="I64" s="17" t="str">
        <f t="shared" si="1"/>
        <v>Racional</v>
      </c>
      <c r="J64" s="1">
        <v>248.3</v>
      </c>
      <c r="K64" s="15">
        <v>2200</v>
      </c>
      <c r="L64" s="15">
        <v>2079</v>
      </c>
      <c r="M64" s="17">
        <f t="shared" si="2"/>
        <v>121</v>
      </c>
      <c r="N64" s="5">
        <f t="shared" si="3"/>
        <v>1.7962234210414434</v>
      </c>
      <c r="O64" s="5">
        <f t="shared" si="4"/>
        <v>5</v>
      </c>
      <c r="P64" s="49">
        <f t="shared" si="5"/>
        <v>47.039072454260264</v>
      </c>
      <c r="Q64" s="49">
        <f t="shared" si="6"/>
        <v>161.21273002762106</v>
      </c>
      <c r="R64" s="49">
        <f t="shared" si="7"/>
        <v>104.20197999105746</v>
      </c>
      <c r="S64" s="49">
        <f t="shared" si="8"/>
        <v>148.8233439677648</v>
      </c>
      <c r="T64" s="50">
        <v>42</v>
      </c>
      <c r="U64" s="5">
        <v>0.55000000000000004</v>
      </c>
      <c r="V64" s="5">
        <f t="shared" si="9"/>
        <v>0.22709418868195652</v>
      </c>
      <c r="W64" s="5">
        <f t="shared" si="10"/>
        <v>0.77829923552223734</v>
      </c>
      <c r="X64" s="5">
        <f t="shared" si="11"/>
        <v>0.50306400340127189</v>
      </c>
      <c r="Y64" s="5">
        <f t="shared" si="12"/>
        <v>0.7184860328221534</v>
      </c>
      <c r="Z64" s="78">
        <f t="shared" si="16"/>
        <v>0.50306400340127189</v>
      </c>
      <c r="AA64" t="s">
        <v>163</v>
      </c>
      <c r="AB64" t="str">
        <f t="shared" si="14"/>
        <v>control</v>
      </c>
      <c r="AC64" s="97">
        <f t="shared" si="15"/>
        <v>503.06400340127186</v>
      </c>
    </row>
    <row r="65" spans="2:29" x14ac:dyDescent="0.25">
      <c r="B65" s="150" t="s">
        <v>162</v>
      </c>
      <c r="E65" s="112">
        <v>50</v>
      </c>
      <c r="F65" s="24">
        <v>14724</v>
      </c>
      <c r="G65" s="39">
        <v>4.3400000000000001E-2</v>
      </c>
      <c r="H65" s="1">
        <f t="shared" si="0"/>
        <v>4.34</v>
      </c>
      <c r="I65" s="17" t="str">
        <f t="shared" si="1"/>
        <v>Racional</v>
      </c>
      <c r="J65" s="1">
        <v>281.39999999999998</v>
      </c>
      <c r="K65" s="15">
        <v>2170</v>
      </c>
      <c r="L65" s="15">
        <v>1967</v>
      </c>
      <c r="M65" s="17">
        <f t="shared" si="2"/>
        <v>203</v>
      </c>
      <c r="N65" s="5">
        <f t="shared" si="3"/>
        <v>1.7006618294855422</v>
      </c>
      <c r="O65" s="5">
        <f t="shared" si="4"/>
        <v>5</v>
      </c>
      <c r="P65" s="49">
        <f t="shared" si="5"/>
        <v>47.039072454260264</v>
      </c>
      <c r="Q65" s="49">
        <f t="shared" si="6"/>
        <v>161.21273002762106</v>
      </c>
      <c r="R65" s="49">
        <f t="shared" si="7"/>
        <v>104.20197999105746</v>
      </c>
      <c r="S65" s="49">
        <f t="shared" si="8"/>
        <v>148.8233439677648</v>
      </c>
      <c r="T65" s="50">
        <v>50</v>
      </c>
      <c r="U65" s="5">
        <v>0.55000000000000004</v>
      </c>
      <c r="V65" s="5">
        <f t="shared" si="9"/>
        <v>0.31189518318977572</v>
      </c>
      <c r="W65" s="5">
        <f t="shared" si="10"/>
        <v>1.0689299627109208</v>
      </c>
      <c r="X65" s="5">
        <f t="shared" si="11"/>
        <v>0.69091701732959487</v>
      </c>
      <c r="Y65" s="5">
        <f t="shared" si="12"/>
        <v>0.98678145014181828</v>
      </c>
      <c r="Z65" s="78">
        <f t="shared" si="16"/>
        <v>0.69091701732959487</v>
      </c>
      <c r="AA65" s="96">
        <f>Z65+Z64</f>
        <v>1.1939810207308668</v>
      </c>
      <c r="AB65" t="str">
        <f t="shared" si="14"/>
        <v>control</v>
      </c>
      <c r="AC65" s="97">
        <f>AA65*1000</f>
        <v>1193.9810207308667</v>
      </c>
    </row>
    <row r="66" spans="2:29" x14ac:dyDescent="0.25">
      <c r="B66" s="150" t="s">
        <v>162</v>
      </c>
      <c r="E66" s="112">
        <v>51</v>
      </c>
      <c r="F66" s="24">
        <v>14958.1</v>
      </c>
      <c r="G66" s="39">
        <v>8.0299999999999996E-2</v>
      </c>
      <c r="H66" s="1">
        <f t="shared" si="0"/>
        <v>8.0299999999999994</v>
      </c>
      <c r="I66" s="17" t="str">
        <f t="shared" si="1"/>
        <v>Racional</v>
      </c>
      <c r="J66" s="1">
        <v>383.7</v>
      </c>
      <c r="K66" s="15">
        <v>2240</v>
      </c>
      <c r="L66" s="15">
        <v>1933</v>
      </c>
      <c r="M66" s="17">
        <f t="shared" si="2"/>
        <v>307</v>
      </c>
      <c r="N66" s="5">
        <f t="shared" si="3"/>
        <v>2.0748985389458436</v>
      </c>
      <c r="O66" s="5">
        <f t="shared" si="4"/>
        <v>5</v>
      </c>
      <c r="P66" s="49">
        <f t="shared" si="5"/>
        <v>47.039072454260264</v>
      </c>
      <c r="Q66" s="49">
        <f t="shared" si="6"/>
        <v>161.21273002762106</v>
      </c>
      <c r="R66" s="49">
        <f t="shared" si="7"/>
        <v>104.20197999105746</v>
      </c>
      <c r="S66" s="49">
        <f t="shared" si="8"/>
        <v>148.8233439677648</v>
      </c>
      <c r="T66" s="50">
        <v>65</v>
      </c>
      <c r="U66" s="5">
        <v>0.55000000000000004</v>
      </c>
      <c r="V66" s="5">
        <f t="shared" si="9"/>
        <v>0.57707795415066798</v>
      </c>
      <c r="W66" s="5">
        <f t="shared" si="10"/>
        <v>1.9777667282416345</v>
      </c>
      <c r="X66" s="5">
        <f t="shared" si="11"/>
        <v>1.2783556795291813</v>
      </c>
      <c r="Y66" s="5">
        <f t="shared" si="12"/>
        <v>1.8257730517600923</v>
      </c>
      <c r="Z66" s="78">
        <f t="shared" si="16"/>
        <v>1.2783556795291813</v>
      </c>
      <c r="AB66" t="str">
        <f t="shared" si="14"/>
        <v>control</v>
      </c>
      <c r="AC66" s="97">
        <f t="shared" si="15"/>
        <v>1278.3556795291813</v>
      </c>
    </row>
    <row r="67" spans="2:29" x14ac:dyDescent="0.25">
      <c r="B67" s="150" t="s">
        <v>162</v>
      </c>
      <c r="E67" s="112">
        <v>52</v>
      </c>
      <c r="F67" s="24">
        <v>15241.7</v>
      </c>
      <c r="G67" s="39">
        <v>0.06</v>
      </c>
      <c r="H67" s="1">
        <f t="shared" si="0"/>
        <v>6</v>
      </c>
      <c r="I67" s="17" t="str">
        <f t="shared" si="1"/>
        <v>Racional</v>
      </c>
      <c r="J67" s="1">
        <v>412.4</v>
      </c>
      <c r="K67" s="15">
        <v>2140</v>
      </c>
      <c r="L67" s="15">
        <v>1988</v>
      </c>
      <c r="M67" s="17">
        <f t="shared" si="2"/>
        <v>152</v>
      </c>
      <c r="N67" s="5">
        <f t="shared" si="3"/>
        <v>2.9560915389846887</v>
      </c>
      <c r="O67" s="5">
        <f t="shared" si="4"/>
        <v>5</v>
      </c>
      <c r="P67" s="49">
        <f t="shared" si="5"/>
        <v>47.039072454260264</v>
      </c>
      <c r="Q67" s="49">
        <f t="shared" si="6"/>
        <v>161.21273002762106</v>
      </c>
      <c r="R67" s="49">
        <f t="shared" si="7"/>
        <v>104.20197999105746</v>
      </c>
      <c r="S67" s="49">
        <f t="shared" si="8"/>
        <v>148.8233439677648</v>
      </c>
      <c r="T67" s="50">
        <v>70</v>
      </c>
      <c r="U67" s="5">
        <v>0.55000000000000004</v>
      </c>
      <c r="V67" s="5">
        <f t="shared" si="9"/>
        <v>0.43119149749738583</v>
      </c>
      <c r="W67" s="5">
        <f t="shared" si="10"/>
        <v>1.4777833585865263</v>
      </c>
      <c r="X67" s="5">
        <f t="shared" si="11"/>
        <v>0.95518481658469345</v>
      </c>
      <c r="Y67" s="5">
        <f t="shared" si="12"/>
        <v>1.3642139863711773</v>
      </c>
      <c r="Z67" s="78">
        <f t="shared" si="16"/>
        <v>0.95518481658469345</v>
      </c>
      <c r="AB67" t="str">
        <f t="shared" si="14"/>
        <v>control</v>
      </c>
      <c r="AC67" s="97">
        <f t="shared" si="15"/>
        <v>955.18481658469341</v>
      </c>
    </row>
    <row r="68" spans="2:29" x14ac:dyDescent="0.25">
      <c r="B68" s="150" t="s">
        <v>80</v>
      </c>
      <c r="E68" s="112">
        <v>53</v>
      </c>
      <c r="F68" s="24">
        <v>15625</v>
      </c>
      <c r="G68" s="39">
        <v>8.7499999999999994E-2</v>
      </c>
      <c r="H68" s="1">
        <f t="shared" si="0"/>
        <v>8.75</v>
      </c>
      <c r="I68" s="17" t="str">
        <f t="shared" si="1"/>
        <v>Racional</v>
      </c>
      <c r="J68" s="1">
        <v>400</v>
      </c>
      <c r="K68" s="15">
        <v>2120</v>
      </c>
      <c r="L68" s="15">
        <v>1867</v>
      </c>
      <c r="M68" s="17">
        <f t="shared" si="2"/>
        <v>253</v>
      </c>
      <c r="N68" s="5">
        <f t="shared" si="3"/>
        <v>2.3453761293259792</v>
      </c>
      <c r="O68" s="5">
        <f t="shared" si="4"/>
        <v>5</v>
      </c>
      <c r="P68" s="49">
        <f t="shared" si="5"/>
        <v>47.039072454260264</v>
      </c>
      <c r="Q68" s="49">
        <f t="shared" si="6"/>
        <v>161.21273002762106</v>
      </c>
      <c r="R68" s="49">
        <f t="shared" si="7"/>
        <v>104.20197999105746</v>
      </c>
      <c r="S68" s="49">
        <f t="shared" si="8"/>
        <v>148.8233439677648</v>
      </c>
      <c r="T68" s="50">
        <v>50</v>
      </c>
      <c r="U68" s="5">
        <v>0.55000000000000004</v>
      </c>
      <c r="V68" s="5">
        <f t="shared" si="9"/>
        <v>0.62882093385035431</v>
      </c>
      <c r="W68" s="5">
        <f t="shared" si="10"/>
        <v>2.1551007312720176</v>
      </c>
      <c r="X68" s="5">
        <f t="shared" si="11"/>
        <v>1.3929778575193446</v>
      </c>
      <c r="Y68" s="5">
        <f t="shared" si="12"/>
        <v>1.9894787301246335</v>
      </c>
      <c r="Z68" s="78">
        <f t="shared" si="16"/>
        <v>1.3929778575193446</v>
      </c>
      <c r="AB68" t="str">
        <f t="shared" si="14"/>
        <v>control</v>
      </c>
      <c r="AC68" s="97">
        <f t="shared" si="15"/>
        <v>1392.9778575193445</v>
      </c>
    </row>
    <row r="69" spans="2:29" x14ac:dyDescent="0.25">
      <c r="B69" s="27" t="s">
        <v>80</v>
      </c>
      <c r="E69" s="112">
        <v>54</v>
      </c>
      <c r="F69" s="24">
        <v>16008</v>
      </c>
      <c r="G69" s="39">
        <v>4.7600000000000003E-2</v>
      </c>
      <c r="H69" s="1">
        <f t="shared" si="0"/>
        <v>4.7600000000000007</v>
      </c>
      <c r="I69" s="17" t="str">
        <f t="shared" si="1"/>
        <v>Racional</v>
      </c>
      <c r="J69" s="1">
        <v>455.2</v>
      </c>
      <c r="K69" s="15">
        <v>2040</v>
      </c>
      <c r="L69" s="15">
        <v>1814</v>
      </c>
      <c r="M69" s="17">
        <f t="shared" si="2"/>
        <v>226</v>
      </c>
      <c r="N69" s="5">
        <f t="shared" si="3"/>
        <v>2.8439795220642847</v>
      </c>
      <c r="O69" s="5">
        <f t="shared" si="4"/>
        <v>5</v>
      </c>
      <c r="P69" s="49">
        <f t="shared" si="5"/>
        <v>47.039072454260264</v>
      </c>
      <c r="Q69" s="49">
        <f t="shared" si="6"/>
        <v>161.21273002762106</v>
      </c>
      <c r="R69" s="49">
        <f t="shared" si="7"/>
        <v>104.20197999105746</v>
      </c>
      <c r="S69" s="49">
        <f t="shared" si="8"/>
        <v>148.8233439677648</v>
      </c>
      <c r="T69" s="50">
        <v>43</v>
      </c>
      <c r="U69" s="5">
        <v>0.55000000000000004</v>
      </c>
      <c r="V69" s="5">
        <f t="shared" si="9"/>
        <v>0.34207858801459279</v>
      </c>
      <c r="W69" s="5">
        <f t="shared" si="10"/>
        <v>1.1723747978119778</v>
      </c>
      <c r="X69" s="5">
        <f t="shared" si="11"/>
        <v>0.7577799544905236</v>
      </c>
      <c r="Y69" s="5">
        <f t="shared" si="12"/>
        <v>1.0822764291878009</v>
      </c>
      <c r="Z69" s="78">
        <f t="shared" si="16"/>
        <v>0.7577799544905236</v>
      </c>
      <c r="AB69" t="str">
        <f t="shared" si="14"/>
        <v>control</v>
      </c>
      <c r="AC69" s="97">
        <f t="shared" si="15"/>
        <v>757.77995449052355</v>
      </c>
    </row>
    <row r="70" spans="2:29" x14ac:dyDescent="0.25">
      <c r="B70" s="27" t="s">
        <v>80</v>
      </c>
      <c r="E70" s="112">
        <v>55</v>
      </c>
      <c r="F70" s="24">
        <v>16270</v>
      </c>
      <c r="G70" s="39">
        <v>1.5699999999999999E-2</v>
      </c>
      <c r="H70" s="1">
        <f t="shared" si="0"/>
        <v>1.5699999999999998</v>
      </c>
      <c r="I70" s="88" t="str">
        <f t="shared" si="1"/>
        <v>Racional</v>
      </c>
      <c r="J70" s="1">
        <v>199.3</v>
      </c>
      <c r="K70" s="88">
        <v>1880</v>
      </c>
      <c r="L70" s="88">
        <v>1778</v>
      </c>
      <c r="M70" s="88">
        <f t="shared" si="2"/>
        <v>102</v>
      </c>
      <c r="N70" s="5">
        <f t="shared" si="3"/>
        <v>1.4881766130162206</v>
      </c>
      <c r="O70" s="5">
        <f t="shared" si="4"/>
        <v>5</v>
      </c>
      <c r="P70" s="49">
        <f t="shared" si="5"/>
        <v>47.039072454260264</v>
      </c>
      <c r="Q70" s="49">
        <f t="shared" si="6"/>
        <v>161.21273002762106</v>
      </c>
      <c r="R70" s="49">
        <f t="shared" si="7"/>
        <v>104.20197999105746</v>
      </c>
      <c r="S70" s="49">
        <f t="shared" si="8"/>
        <v>148.8233439677648</v>
      </c>
      <c r="T70" s="50">
        <v>38</v>
      </c>
      <c r="U70" s="5">
        <v>0.55000000000000004</v>
      </c>
      <c r="V70" s="5">
        <f t="shared" si="9"/>
        <v>0.11282844184514927</v>
      </c>
      <c r="W70" s="5">
        <f t="shared" si="10"/>
        <v>0.3866866454968077</v>
      </c>
      <c r="X70" s="5">
        <f t="shared" si="11"/>
        <v>0.24994002700632809</v>
      </c>
      <c r="Y70" s="5">
        <f t="shared" si="12"/>
        <v>0.35696932643379137</v>
      </c>
      <c r="Z70" s="78">
        <f t="shared" si="16"/>
        <v>0.24994002700632809</v>
      </c>
      <c r="AB70" t="str">
        <f t="shared" si="14"/>
        <v>control</v>
      </c>
      <c r="AC70" s="97">
        <f t="shared" si="15"/>
        <v>249.94002700632808</v>
      </c>
    </row>
    <row r="71" spans="2:29" x14ac:dyDescent="0.25">
      <c r="B71" s="27" t="s">
        <v>80</v>
      </c>
      <c r="E71" s="112">
        <v>56</v>
      </c>
      <c r="F71" s="24">
        <v>16495.599999999999</v>
      </c>
      <c r="G71" s="39">
        <v>9.4999999999999998E-3</v>
      </c>
      <c r="H71" s="1">
        <f t="shared" si="0"/>
        <v>0.95</v>
      </c>
      <c r="I71" s="17" t="str">
        <f t="shared" si="1"/>
        <v>Racional</v>
      </c>
      <c r="J71" s="1">
        <v>211.9</v>
      </c>
      <c r="K71" s="15">
        <v>1800</v>
      </c>
      <c r="L71" s="15">
        <v>1738</v>
      </c>
      <c r="M71" s="17">
        <f t="shared" si="2"/>
        <v>62</v>
      </c>
      <c r="N71" s="5">
        <f t="shared" si="3"/>
        <v>1.9348400387210043</v>
      </c>
      <c r="O71" s="5">
        <f t="shared" si="4"/>
        <v>5</v>
      </c>
      <c r="P71" s="49">
        <f t="shared" si="5"/>
        <v>47.039072454260264</v>
      </c>
      <c r="Q71" s="49">
        <f t="shared" si="6"/>
        <v>161.21273002762106</v>
      </c>
      <c r="R71" s="49">
        <f t="shared" si="7"/>
        <v>104.20197999105746</v>
      </c>
      <c r="S71" s="49">
        <f t="shared" si="8"/>
        <v>148.8233439677648</v>
      </c>
      <c r="T71" s="50">
        <v>32</v>
      </c>
      <c r="U71" s="5">
        <v>0.55000000000000004</v>
      </c>
      <c r="V71" s="5">
        <f t="shared" si="9"/>
        <v>6.8271987103752749E-2</v>
      </c>
      <c r="W71" s="5">
        <f t="shared" si="10"/>
        <v>0.23398236510953335</v>
      </c>
      <c r="X71" s="5">
        <f t="shared" si="11"/>
        <v>0.1512375959592431</v>
      </c>
      <c r="Y71" s="5">
        <f t="shared" si="12"/>
        <v>0.21600054784210307</v>
      </c>
      <c r="Z71" s="78">
        <f t="shared" si="16"/>
        <v>0.1512375959592431</v>
      </c>
      <c r="AB71" t="str">
        <f t="shared" si="14"/>
        <v>control</v>
      </c>
      <c r="AC71" s="97">
        <f t="shared" si="15"/>
        <v>151.23759595924309</v>
      </c>
    </row>
    <row r="72" spans="2:29" x14ac:dyDescent="0.25">
      <c r="B72" s="150" t="s">
        <v>80</v>
      </c>
      <c r="E72" s="112">
        <v>57</v>
      </c>
      <c r="F72" s="24">
        <v>16832</v>
      </c>
      <c r="G72" s="39">
        <v>1.7000000000000001E-2</v>
      </c>
      <c r="H72" s="1">
        <f t="shared" si="0"/>
        <v>1.7000000000000002</v>
      </c>
      <c r="I72" s="17" t="str">
        <f t="shared" si="1"/>
        <v>Racional</v>
      </c>
      <c r="J72" s="1">
        <v>313.10000000000002</v>
      </c>
      <c r="K72" s="15">
        <v>1784</v>
      </c>
      <c r="L72" s="15">
        <v>1688</v>
      </c>
      <c r="M72" s="17">
        <f t="shared" si="2"/>
        <v>96</v>
      </c>
      <c r="N72" s="5">
        <f t="shared" si="3"/>
        <v>2.5666942030533497</v>
      </c>
      <c r="O72" s="5">
        <f t="shared" si="4"/>
        <v>5</v>
      </c>
      <c r="P72" s="49">
        <f t="shared" si="5"/>
        <v>47.039072454260264</v>
      </c>
      <c r="Q72" s="49">
        <f t="shared" si="6"/>
        <v>161.21273002762106</v>
      </c>
      <c r="R72" s="49">
        <f t="shared" si="7"/>
        <v>104.20197999105746</v>
      </c>
      <c r="S72" s="49">
        <f t="shared" si="8"/>
        <v>148.8233439677648</v>
      </c>
      <c r="T72" s="50">
        <v>37</v>
      </c>
      <c r="U72" s="5">
        <v>0.55000000000000004</v>
      </c>
      <c r="V72" s="5">
        <f t="shared" si="9"/>
        <v>0.12217092429092599</v>
      </c>
      <c r="W72" s="5">
        <f t="shared" si="10"/>
        <v>0.4187052849328492</v>
      </c>
      <c r="X72" s="5">
        <f t="shared" si="11"/>
        <v>0.27063569803232984</v>
      </c>
      <c r="Y72" s="5">
        <f t="shared" si="12"/>
        <v>0.38652729613850029</v>
      </c>
      <c r="Z72" s="78">
        <f t="shared" si="16"/>
        <v>0.27063569803232984</v>
      </c>
      <c r="AA72" t="s">
        <v>163</v>
      </c>
      <c r="AB72" t="str">
        <f t="shared" si="14"/>
        <v>control</v>
      </c>
      <c r="AC72" s="97">
        <f t="shared" si="15"/>
        <v>270.63569803232986</v>
      </c>
    </row>
    <row r="73" spans="2:29" x14ac:dyDescent="0.25">
      <c r="B73" s="111" t="s">
        <v>80</v>
      </c>
      <c r="E73" s="112">
        <v>58</v>
      </c>
      <c r="F73" s="24">
        <v>17228</v>
      </c>
      <c r="G73" s="39">
        <v>8.6E-3</v>
      </c>
      <c r="H73" s="1">
        <f t="shared" si="0"/>
        <v>0.86</v>
      </c>
      <c r="I73" s="17" t="str">
        <f t="shared" si="1"/>
        <v>Racional</v>
      </c>
      <c r="J73" s="1">
        <v>96.7</v>
      </c>
      <c r="K73" s="15">
        <v>1690</v>
      </c>
      <c r="L73" s="15">
        <v>1638</v>
      </c>
      <c r="M73" s="17">
        <f t="shared" si="2"/>
        <v>52</v>
      </c>
      <c r="N73" s="5">
        <f t="shared" si="3"/>
        <v>0.8366443867797867</v>
      </c>
      <c r="O73" s="5">
        <f t="shared" si="4"/>
        <v>5</v>
      </c>
      <c r="P73" s="49">
        <f t="shared" si="5"/>
        <v>47.039072454260264</v>
      </c>
      <c r="Q73" s="49">
        <f t="shared" si="6"/>
        <v>161.21273002762106</v>
      </c>
      <c r="R73" s="49">
        <f t="shared" si="7"/>
        <v>104.20197999105746</v>
      </c>
      <c r="S73" s="49">
        <f t="shared" si="8"/>
        <v>148.8233439677648</v>
      </c>
      <c r="T73" s="50">
        <v>38</v>
      </c>
      <c r="U73" s="5">
        <v>0.55000000000000004</v>
      </c>
      <c r="V73" s="5">
        <f t="shared" si="9"/>
        <v>6.1804114641291964E-2</v>
      </c>
      <c r="W73" s="5">
        <f t="shared" si="10"/>
        <v>0.21181561473073546</v>
      </c>
      <c r="X73" s="5">
        <f t="shared" si="11"/>
        <v>0.13690982371047272</v>
      </c>
      <c r="Y73" s="5">
        <f t="shared" si="12"/>
        <v>0.19553733804653539</v>
      </c>
      <c r="Z73" s="78">
        <f t="shared" si="16"/>
        <v>0.13690982371047272</v>
      </c>
      <c r="AA73" s="96">
        <f>Z73+Z72</f>
        <v>0.40754552174280256</v>
      </c>
      <c r="AB73" t="str">
        <f t="shared" si="14"/>
        <v>control</v>
      </c>
      <c r="AC73" s="97">
        <f>AA73*1000</f>
        <v>407.54552174280258</v>
      </c>
    </row>
    <row r="74" spans="2:29" x14ac:dyDescent="0.25">
      <c r="B74" s="150" t="s">
        <v>80</v>
      </c>
      <c r="E74" s="112">
        <v>59</v>
      </c>
      <c r="F74" s="24">
        <v>17385</v>
      </c>
      <c r="G74" s="39">
        <v>1.43E-2</v>
      </c>
      <c r="H74" s="1">
        <f t="shared" si="0"/>
        <v>1.43</v>
      </c>
      <c r="I74" s="17" t="str">
        <f t="shared" si="1"/>
        <v>Racional</v>
      </c>
      <c r="J74" s="1">
        <v>138.6</v>
      </c>
      <c r="K74" s="15">
        <v>1702</v>
      </c>
      <c r="L74" s="15">
        <v>1612</v>
      </c>
      <c r="M74" s="17">
        <f t="shared" si="2"/>
        <v>90</v>
      </c>
      <c r="N74" s="5">
        <f t="shared" si="3"/>
        <v>1.0265681272024285</v>
      </c>
      <c r="O74" s="5">
        <f t="shared" si="4"/>
        <v>5</v>
      </c>
      <c r="P74" s="49">
        <f t="shared" si="5"/>
        <v>47.039072454260264</v>
      </c>
      <c r="Q74" s="49">
        <f t="shared" si="6"/>
        <v>161.21273002762106</v>
      </c>
      <c r="R74" s="49">
        <f t="shared" si="7"/>
        <v>104.20197999105746</v>
      </c>
      <c r="S74" s="49">
        <f t="shared" si="8"/>
        <v>148.8233439677648</v>
      </c>
      <c r="T74" s="50">
        <v>35</v>
      </c>
      <c r="U74" s="5">
        <v>0.55000000000000004</v>
      </c>
      <c r="V74" s="5">
        <f t="shared" si="9"/>
        <v>0.1027673069035436</v>
      </c>
      <c r="W74" s="5">
        <f t="shared" si="10"/>
        <v>0.35220503379645546</v>
      </c>
      <c r="X74" s="5">
        <f t="shared" si="11"/>
        <v>0.22765238128601861</v>
      </c>
      <c r="Y74" s="5">
        <f t="shared" si="12"/>
        <v>0.32513766675179728</v>
      </c>
      <c r="Z74" s="78">
        <f t="shared" si="16"/>
        <v>0.22765238128601861</v>
      </c>
      <c r="AB74" t="str">
        <f t="shared" si="14"/>
        <v>control</v>
      </c>
      <c r="AC74" s="97">
        <f t="shared" si="15"/>
        <v>227.65238128601862</v>
      </c>
    </row>
    <row r="75" spans="2:29" x14ac:dyDescent="0.25">
      <c r="B75" s="150" t="s">
        <v>80</v>
      </c>
      <c r="E75" s="112">
        <v>60</v>
      </c>
      <c r="F75" s="24">
        <v>17585</v>
      </c>
      <c r="G75" s="39">
        <v>1.2999999999999999E-2</v>
      </c>
      <c r="H75" s="1">
        <f t="shared" si="0"/>
        <v>1.3</v>
      </c>
      <c r="I75" s="17" t="str">
        <f t="shared" si="1"/>
        <v>Racional</v>
      </c>
      <c r="J75" s="1">
        <v>225</v>
      </c>
      <c r="K75" s="15">
        <v>1672</v>
      </c>
      <c r="L75" s="15">
        <v>1579</v>
      </c>
      <c r="M75" s="17">
        <f t="shared" si="2"/>
        <v>93</v>
      </c>
      <c r="N75" s="5">
        <f t="shared" si="3"/>
        <v>1.7739422792052149</v>
      </c>
      <c r="O75" s="5">
        <f t="shared" si="4"/>
        <v>5</v>
      </c>
      <c r="P75" s="49">
        <f t="shared" si="5"/>
        <v>47.039072454260264</v>
      </c>
      <c r="Q75" s="49">
        <f t="shared" si="6"/>
        <v>161.21273002762106</v>
      </c>
      <c r="R75" s="49">
        <f t="shared" si="7"/>
        <v>104.20197999105746</v>
      </c>
      <c r="S75" s="49">
        <f t="shared" si="8"/>
        <v>148.8233439677648</v>
      </c>
      <c r="T75" s="50">
        <v>30</v>
      </c>
      <c r="U75" s="5">
        <v>0.55000000000000004</v>
      </c>
      <c r="V75" s="5">
        <f t="shared" si="9"/>
        <v>9.3424824457766925E-2</v>
      </c>
      <c r="W75" s="5">
        <f t="shared" si="10"/>
        <v>0.32018639436041407</v>
      </c>
      <c r="X75" s="5">
        <f t="shared" si="11"/>
        <v>0.20695671026001691</v>
      </c>
      <c r="Y75" s="5">
        <f t="shared" si="12"/>
        <v>0.29557969704708847</v>
      </c>
      <c r="Z75" s="78">
        <f t="shared" si="16"/>
        <v>0.20695671026001691</v>
      </c>
      <c r="AB75" t="str">
        <f t="shared" si="14"/>
        <v>control</v>
      </c>
      <c r="AC75" s="97">
        <f t="shared" si="15"/>
        <v>206.95671026001691</v>
      </c>
    </row>
    <row r="76" spans="2:29" x14ac:dyDescent="0.25">
      <c r="B76" s="150" t="s">
        <v>80</v>
      </c>
      <c r="E76" s="112">
        <v>61</v>
      </c>
      <c r="F76" s="24">
        <v>18037.5</v>
      </c>
      <c r="G76" s="39">
        <v>1.26E-2</v>
      </c>
      <c r="H76" s="1">
        <f t="shared" si="0"/>
        <v>1.26</v>
      </c>
      <c r="I76" s="17" t="str">
        <f t="shared" si="1"/>
        <v>Racional</v>
      </c>
      <c r="J76" s="1">
        <v>430.8</v>
      </c>
      <c r="K76" s="15">
        <v>1581</v>
      </c>
      <c r="L76" s="15">
        <v>1525</v>
      </c>
      <c r="M76" s="17">
        <f t="shared" si="2"/>
        <v>56</v>
      </c>
      <c r="N76" s="5">
        <f t="shared" si="3"/>
        <v>4.5663652688020706</v>
      </c>
      <c r="O76" s="5">
        <f t="shared" si="4"/>
        <v>5</v>
      </c>
      <c r="P76" s="49">
        <f t="shared" si="5"/>
        <v>47.039072454260264</v>
      </c>
      <c r="Q76" s="49">
        <f t="shared" si="6"/>
        <v>161.21273002762106</v>
      </c>
      <c r="R76" s="49">
        <f t="shared" si="7"/>
        <v>104.20197999105746</v>
      </c>
      <c r="S76" s="49">
        <f t="shared" si="8"/>
        <v>148.8233439677648</v>
      </c>
      <c r="T76" s="50">
        <v>19</v>
      </c>
      <c r="U76" s="5">
        <v>0.5</v>
      </c>
      <c r="V76" s="5">
        <f t="shared" si="9"/>
        <v>8.2318376794955461E-2</v>
      </c>
      <c r="W76" s="5">
        <f t="shared" si="10"/>
        <v>0.28212227754833685</v>
      </c>
      <c r="X76" s="5">
        <f t="shared" si="11"/>
        <v>0.18235346498435057</v>
      </c>
      <c r="Y76" s="5">
        <f t="shared" si="12"/>
        <v>0.2604408519435884</v>
      </c>
      <c r="Z76" s="78">
        <f t="shared" si="16"/>
        <v>0.18235346498435057</v>
      </c>
      <c r="AB76" t="str">
        <f t="shared" si="14"/>
        <v>control</v>
      </c>
      <c r="AC76" s="97">
        <f t="shared" si="15"/>
        <v>182.35346498435058</v>
      </c>
    </row>
    <row r="77" spans="2:29" x14ac:dyDescent="0.25">
      <c r="B77" s="150" t="s">
        <v>80</v>
      </c>
      <c r="E77" s="112">
        <v>62</v>
      </c>
      <c r="F77" s="24">
        <v>18301.599999999999</v>
      </c>
      <c r="G77" s="80">
        <v>2.8E-3</v>
      </c>
      <c r="H77" s="1">
        <f t="shared" si="0"/>
        <v>0.27999999999999997</v>
      </c>
      <c r="I77" s="17" t="str">
        <f t="shared" si="1"/>
        <v>Racional</v>
      </c>
      <c r="J77" s="1">
        <v>93.9</v>
      </c>
      <c r="K77" s="15"/>
      <c r="L77" s="15"/>
      <c r="M77" s="17">
        <f t="shared" si="2"/>
        <v>0</v>
      </c>
      <c r="N77" s="5" t="e">
        <f t="shared" si="3"/>
        <v>#DIV/0!</v>
      </c>
      <c r="O77" s="5">
        <v>5</v>
      </c>
      <c r="P77" s="49">
        <f t="shared" si="5"/>
        <v>47.039072454260264</v>
      </c>
      <c r="Q77" s="49">
        <f t="shared" si="6"/>
        <v>161.21273002762106</v>
      </c>
      <c r="R77" s="49">
        <f t="shared" si="7"/>
        <v>104.20197999105746</v>
      </c>
      <c r="S77" s="49">
        <f t="shared" si="8"/>
        <v>148.8233439677648</v>
      </c>
      <c r="T77" s="50">
        <v>21</v>
      </c>
      <c r="U77" s="5">
        <v>0.5</v>
      </c>
      <c r="V77" s="5">
        <f t="shared" si="9"/>
        <v>1.829297262110121E-2</v>
      </c>
      <c r="W77" s="5">
        <f t="shared" si="10"/>
        <v>6.269383945518596E-2</v>
      </c>
      <c r="X77" s="5">
        <f t="shared" si="11"/>
        <v>4.0522992218744558E-2</v>
      </c>
      <c r="Y77" s="5">
        <f t="shared" si="12"/>
        <v>5.7875744876352976E-2</v>
      </c>
      <c r="Z77" s="78">
        <f t="shared" si="16"/>
        <v>4.0522992218744558E-2</v>
      </c>
      <c r="AB77" t="str">
        <f t="shared" si="14"/>
        <v>control</v>
      </c>
      <c r="AC77" s="97">
        <f t="shared" si="15"/>
        <v>40.522992218744555</v>
      </c>
    </row>
    <row r="78" spans="2:29" x14ac:dyDescent="0.25">
      <c r="B78" s="150" t="s">
        <v>80</v>
      </c>
      <c r="E78" s="112">
        <v>63</v>
      </c>
      <c r="F78" s="24">
        <v>18773</v>
      </c>
      <c r="G78" s="39">
        <v>5.1999999999999998E-3</v>
      </c>
      <c r="H78" s="1">
        <f t="shared" si="0"/>
        <v>0.52</v>
      </c>
      <c r="I78" s="17" t="str">
        <f t="shared" si="1"/>
        <v>Racional</v>
      </c>
      <c r="J78" s="1">
        <v>133.5</v>
      </c>
      <c r="K78" s="15">
        <v>1487</v>
      </c>
      <c r="L78" s="15">
        <v>1463</v>
      </c>
      <c r="M78" s="17">
        <f t="shared" si="2"/>
        <v>24</v>
      </c>
      <c r="N78" s="5">
        <f t="shared" si="3"/>
        <v>1.6352499524959412</v>
      </c>
      <c r="O78" s="5">
        <f t="shared" si="4"/>
        <v>5</v>
      </c>
      <c r="P78" s="49">
        <f t="shared" si="5"/>
        <v>47.039072454260264</v>
      </c>
      <c r="Q78" s="49">
        <f t="shared" si="6"/>
        <v>161.21273002762106</v>
      </c>
      <c r="R78" s="49">
        <f t="shared" si="7"/>
        <v>104.20197999105746</v>
      </c>
      <c r="S78" s="49">
        <f t="shared" si="8"/>
        <v>148.8233439677648</v>
      </c>
      <c r="T78" s="50">
        <v>27</v>
      </c>
      <c r="U78" s="5">
        <v>0.5</v>
      </c>
      <c r="V78" s="5">
        <f t="shared" si="9"/>
        <v>3.3972663439187971E-2</v>
      </c>
      <c r="W78" s="5">
        <f t="shared" si="10"/>
        <v>0.11643141613105966</v>
      </c>
      <c r="X78" s="5">
        <f t="shared" si="11"/>
        <v>7.5256985549097058E-2</v>
      </c>
      <c r="Y78" s="5">
        <f t="shared" si="12"/>
        <v>0.10748352619894125</v>
      </c>
      <c r="Z78" s="78">
        <f t="shared" si="16"/>
        <v>7.5256985549097058E-2</v>
      </c>
      <c r="AA78" t="s">
        <v>103</v>
      </c>
      <c r="AB78" t="str">
        <f t="shared" si="14"/>
        <v>control</v>
      </c>
      <c r="AC78" s="97">
        <f t="shared" si="15"/>
        <v>75.256985549097053</v>
      </c>
    </row>
    <row r="79" spans="2:29" x14ac:dyDescent="0.25">
      <c r="B79" s="150" t="s">
        <v>162</v>
      </c>
      <c r="E79" s="112">
        <v>64</v>
      </c>
      <c r="F79" s="24">
        <v>19002</v>
      </c>
      <c r="G79" s="39">
        <v>1.01E-2</v>
      </c>
      <c r="H79" s="1">
        <f t="shared" si="0"/>
        <v>1.01</v>
      </c>
      <c r="I79" s="17" t="str">
        <f t="shared" si="1"/>
        <v>Racional</v>
      </c>
      <c r="J79" s="1">
        <v>205</v>
      </c>
      <c r="K79" s="15">
        <v>1509</v>
      </c>
      <c r="L79" s="15">
        <v>1443</v>
      </c>
      <c r="M79" s="17">
        <f t="shared" si="2"/>
        <v>66</v>
      </c>
      <c r="N79" s="5">
        <f t="shared" si="3"/>
        <v>1.8179666237479382</v>
      </c>
      <c r="O79" s="5">
        <f t="shared" si="4"/>
        <v>5</v>
      </c>
      <c r="P79" s="49">
        <f t="shared" si="5"/>
        <v>47.039072454260264</v>
      </c>
      <c r="Q79" s="49">
        <f t="shared" si="6"/>
        <v>161.21273002762106</v>
      </c>
      <c r="R79" s="49">
        <f t="shared" si="7"/>
        <v>104.20197999105746</v>
      </c>
      <c r="S79" s="49">
        <f t="shared" si="8"/>
        <v>148.8233439677648</v>
      </c>
      <c r="T79" s="50">
        <v>29</v>
      </c>
      <c r="U79" s="5">
        <v>0.4</v>
      </c>
      <c r="V79" s="5">
        <f t="shared" si="9"/>
        <v>5.2788292420892072E-2</v>
      </c>
      <c r="W79" s="5">
        <f t="shared" si="10"/>
        <v>0.18091650814210808</v>
      </c>
      <c r="X79" s="5">
        <f t="shared" si="11"/>
        <v>0.11693777754552002</v>
      </c>
      <c r="Y79" s="5">
        <f t="shared" si="12"/>
        <v>0.16701286378604716</v>
      </c>
      <c r="Z79" s="78">
        <f t="shared" si="16"/>
        <v>0.11693777754552002</v>
      </c>
      <c r="AB79" t="str">
        <f t="shared" si="14"/>
        <v>control</v>
      </c>
      <c r="AC79" s="97">
        <f t="shared" si="15"/>
        <v>116.93777754552002</v>
      </c>
    </row>
    <row r="80" spans="2:29" x14ac:dyDescent="0.25">
      <c r="B80" s="95" t="s">
        <v>80</v>
      </c>
      <c r="E80" s="112">
        <v>65</v>
      </c>
      <c r="F80" s="24">
        <v>19360</v>
      </c>
      <c r="G80" s="39">
        <v>4.4000000000000003E-3</v>
      </c>
      <c r="H80" s="1">
        <f t="shared" si="0"/>
        <v>0.44</v>
      </c>
      <c r="I80" s="87" t="str">
        <f t="shared" si="1"/>
        <v>Racional</v>
      </c>
      <c r="J80" s="1">
        <v>101.4</v>
      </c>
      <c r="K80" s="87">
        <v>1419</v>
      </c>
      <c r="L80" s="87">
        <v>1393</v>
      </c>
      <c r="M80" s="87">
        <f t="shared" si="2"/>
        <v>26</v>
      </c>
      <c r="N80" s="5">
        <f t="shared" si="3"/>
        <v>1.1541007158786449</v>
      </c>
      <c r="O80" s="5">
        <f t="shared" si="4"/>
        <v>5</v>
      </c>
      <c r="P80" s="49">
        <f t="shared" si="5"/>
        <v>47.039072454260264</v>
      </c>
      <c r="Q80" s="49">
        <f t="shared" si="6"/>
        <v>161.21273002762106</v>
      </c>
      <c r="R80" s="49">
        <f t="shared" si="7"/>
        <v>104.20197999105746</v>
      </c>
      <c r="S80" s="49">
        <f t="shared" si="8"/>
        <v>148.8233439677648</v>
      </c>
      <c r="T80" s="50">
        <v>30</v>
      </c>
      <c r="U80" s="5">
        <v>0.4</v>
      </c>
      <c r="V80" s="5">
        <f t="shared" si="9"/>
        <v>2.299687986652724E-2</v>
      </c>
      <c r="W80" s="5">
        <f t="shared" si="10"/>
        <v>7.8815112457948075E-2</v>
      </c>
      <c r="X80" s="5">
        <f t="shared" si="11"/>
        <v>5.0943190217850313E-2</v>
      </c>
      <c r="Y80" s="5">
        <f t="shared" si="12"/>
        <v>7.2758079273129467E-2</v>
      </c>
      <c r="Z80" s="78">
        <f t="shared" si="16"/>
        <v>5.0943190217850313E-2</v>
      </c>
      <c r="AA80" t="s">
        <v>163</v>
      </c>
      <c r="AB80" t="str">
        <f t="shared" si="14"/>
        <v>control</v>
      </c>
      <c r="AC80" s="97">
        <f t="shared" si="15"/>
        <v>50.943190217850315</v>
      </c>
    </row>
    <row r="81" spans="2:29" x14ac:dyDescent="0.25">
      <c r="B81" s="150" t="s">
        <v>80</v>
      </c>
      <c r="E81" s="112">
        <v>66</v>
      </c>
      <c r="F81" s="24">
        <v>19602</v>
      </c>
      <c r="G81" s="39">
        <v>6.6E-3</v>
      </c>
      <c r="H81" s="1">
        <f t="shared" si="0"/>
        <v>0.66</v>
      </c>
      <c r="I81" s="17" t="str">
        <f t="shared" si="1"/>
        <v>Racional</v>
      </c>
      <c r="J81" s="1">
        <v>98.5</v>
      </c>
      <c r="K81" s="15">
        <v>1404</v>
      </c>
      <c r="L81" s="15">
        <v>1361</v>
      </c>
      <c r="M81" s="17">
        <f t="shared" si="2"/>
        <v>43</v>
      </c>
      <c r="N81" s="5">
        <f t="shared" si="3"/>
        <v>0.91953465672666745</v>
      </c>
      <c r="O81" s="5">
        <f t="shared" si="4"/>
        <v>5</v>
      </c>
      <c r="P81" s="49">
        <f t="shared" si="5"/>
        <v>47.039072454260264</v>
      </c>
      <c r="Q81" s="49">
        <f t="shared" si="6"/>
        <v>161.21273002762106</v>
      </c>
      <c r="R81" s="49">
        <f t="shared" si="7"/>
        <v>104.20197999105746</v>
      </c>
      <c r="S81" s="49">
        <f t="shared" si="8"/>
        <v>148.8233439677648</v>
      </c>
      <c r="T81" s="50">
        <v>32</v>
      </c>
      <c r="U81" s="5">
        <v>0.4</v>
      </c>
      <c r="V81" s="5">
        <f t="shared" si="9"/>
        <v>3.4495319799790862E-2</v>
      </c>
      <c r="W81" s="5">
        <f t="shared" si="10"/>
        <v>0.11822266868692211</v>
      </c>
      <c r="X81" s="5">
        <f t="shared" si="11"/>
        <v>7.6414785326775467E-2</v>
      </c>
      <c r="Y81" s="5">
        <f t="shared" si="12"/>
        <v>0.10913711890969419</v>
      </c>
      <c r="Z81" s="78">
        <f t="shared" si="16"/>
        <v>7.6414785326775467E-2</v>
      </c>
      <c r="AA81" s="96">
        <f>Z82+Z81</f>
        <v>1.2342145630051915</v>
      </c>
      <c r="AB81" t="str">
        <f t="shared" si="14"/>
        <v>control</v>
      </c>
      <c r="AC81" s="97">
        <f>AA81*1000</f>
        <v>1234.2145630051914</v>
      </c>
    </row>
    <row r="82" spans="2:29" x14ac:dyDescent="0.25">
      <c r="B82" s="150" t="s">
        <v>162</v>
      </c>
      <c r="E82" s="112">
        <v>67</v>
      </c>
      <c r="F82" s="24">
        <v>19771.3</v>
      </c>
      <c r="G82" s="39">
        <v>0.1</v>
      </c>
      <c r="H82" s="1">
        <f t="shared" si="0"/>
        <v>10</v>
      </c>
      <c r="I82" s="17" t="str">
        <f t="shared" si="1"/>
        <v>Racional</v>
      </c>
      <c r="J82" s="1">
        <v>208.8</v>
      </c>
      <c r="K82" s="15">
        <v>1404</v>
      </c>
      <c r="L82" s="15">
        <v>1338</v>
      </c>
      <c r="M82" s="17">
        <f t="shared" si="2"/>
        <v>66</v>
      </c>
      <c r="N82" s="5">
        <f t="shared" si="3"/>
        <v>1.8569444713800667</v>
      </c>
      <c r="O82" s="5">
        <f t="shared" si="4"/>
        <v>5</v>
      </c>
      <c r="P82" s="49">
        <f t="shared" si="5"/>
        <v>47.039072454260264</v>
      </c>
      <c r="Q82" s="49">
        <f t="shared" si="6"/>
        <v>161.21273002762106</v>
      </c>
      <c r="R82" s="49">
        <f t="shared" si="7"/>
        <v>104.20197999105746</v>
      </c>
      <c r="S82" s="49">
        <f t="shared" si="8"/>
        <v>148.8233439677648</v>
      </c>
      <c r="T82" s="50">
        <v>32</v>
      </c>
      <c r="U82" s="5">
        <v>0.4</v>
      </c>
      <c r="V82" s="5">
        <f t="shared" si="9"/>
        <v>0.52265636060289178</v>
      </c>
      <c r="W82" s="5">
        <f t="shared" si="10"/>
        <v>1.7912525558624564</v>
      </c>
      <c r="X82" s="5">
        <f t="shared" si="11"/>
        <v>1.1577997776784161</v>
      </c>
      <c r="Y82" s="5">
        <f t="shared" si="12"/>
        <v>1.6535927107529422</v>
      </c>
      <c r="Z82" s="78">
        <f t="shared" si="16"/>
        <v>1.1577997776784161</v>
      </c>
      <c r="AB82" t="str">
        <f t="shared" ref="AB82:AB126" si="17">IF(Z82&gt;2.5,"0bligada","control")</f>
        <v>control</v>
      </c>
      <c r="AC82" s="97">
        <f t="shared" ref="AC82:AC126" si="18">Z82*1000</f>
        <v>1157.7997776784161</v>
      </c>
    </row>
    <row r="83" spans="2:29" x14ac:dyDescent="0.25">
      <c r="B83" s="150" t="s">
        <v>162</v>
      </c>
      <c r="E83" s="112">
        <v>68</v>
      </c>
      <c r="F83" s="24">
        <v>20154.400000000001</v>
      </c>
      <c r="G83" s="39">
        <v>1.4999999999999999E-2</v>
      </c>
      <c r="H83" s="1">
        <f t="shared" si="0"/>
        <v>1.5</v>
      </c>
      <c r="I83" s="17" t="str">
        <f t="shared" si="1"/>
        <v>Racional</v>
      </c>
      <c r="J83" s="1">
        <v>403.7</v>
      </c>
      <c r="K83" s="15">
        <v>1384</v>
      </c>
      <c r="L83" s="15">
        <v>1287</v>
      </c>
      <c r="M83" s="17">
        <f t="shared" si="2"/>
        <v>97</v>
      </c>
      <c r="N83" s="5">
        <f t="shared" si="3"/>
        <v>3.4286673296205867</v>
      </c>
      <c r="O83" s="5">
        <f t="shared" si="4"/>
        <v>5</v>
      </c>
      <c r="P83" s="49">
        <f t="shared" si="5"/>
        <v>47.039072454260264</v>
      </c>
      <c r="Q83" s="49">
        <f t="shared" si="6"/>
        <v>161.21273002762106</v>
      </c>
      <c r="R83" s="49">
        <f t="shared" si="7"/>
        <v>104.20197999105746</v>
      </c>
      <c r="S83" s="49">
        <f t="shared" si="8"/>
        <v>148.8233439677648</v>
      </c>
      <c r="T83" s="50">
        <v>30</v>
      </c>
      <c r="U83" s="5">
        <v>0.4</v>
      </c>
      <c r="V83" s="5">
        <f t="shared" si="9"/>
        <v>7.8398454090433764E-2</v>
      </c>
      <c r="W83" s="5">
        <f t="shared" si="10"/>
        <v>0.26868788337936839</v>
      </c>
      <c r="X83" s="5">
        <f t="shared" si="11"/>
        <v>0.17366996665176243</v>
      </c>
      <c r="Y83" s="5">
        <f t="shared" si="12"/>
        <v>0.24803890661294134</v>
      </c>
      <c r="Z83" s="78">
        <f t="shared" si="16"/>
        <v>0.17366996665176243</v>
      </c>
      <c r="AA83" t="s">
        <v>163</v>
      </c>
      <c r="AB83" t="str">
        <f t="shared" si="17"/>
        <v>control</v>
      </c>
      <c r="AC83" s="97">
        <f t="shared" si="18"/>
        <v>173.66996665176242</v>
      </c>
    </row>
    <row r="84" spans="2:29" x14ac:dyDescent="0.25">
      <c r="B84" s="150" t="s">
        <v>162</v>
      </c>
      <c r="E84" s="112">
        <v>69</v>
      </c>
      <c r="F84" s="24">
        <v>20276.099999999999</v>
      </c>
      <c r="G84" s="39">
        <v>3.0200000000000001E-2</v>
      </c>
      <c r="H84" s="1">
        <f t="shared" si="0"/>
        <v>3.02</v>
      </c>
      <c r="I84" s="17" t="str">
        <f t="shared" si="1"/>
        <v>Racional</v>
      </c>
      <c r="J84" s="1">
        <v>244</v>
      </c>
      <c r="K84" s="15">
        <v>1411</v>
      </c>
      <c r="L84" s="15">
        <v>1266</v>
      </c>
      <c r="M84" s="17">
        <f t="shared" si="2"/>
        <v>145</v>
      </c>
      <c r="N84" s="5">
        <f t="shared" si="3"/>
        <v>1.6418866811803252</v>
      </c>
      <c r="O84" s="5">
        <f t="shared" si="4"/>
        <v>5</v>
      </c>
      <c r="P84" s="49">
        <f t="shared" si="5"/>
        <v>47.039072454260264</v>
      </c>
      <c r="Q84" s="49">
        <f t="shared" si="6"/>
        <v>161.21273002762106</v>
      </c>
      <c r="R84" s="49">
        <f t="shared" si="7"/>
        <v>104.20197999105746</v>
      </c>
      <c r="S84" s="49">
        <f t="shared" si="8"/>
        <v>148.8233439677648</v>
      </c>
      <c r="T84" s="50">
        <v>30</v>
      </c>
      <c r="U84" s="5">
        <v>0.4</v>
      </c>
      <c r="V84" s="5">
        <f t="shared" si="9"/>
        <v>0.15784222090207334</v>
      </c>
      <c r="W84" s="5">
        <f t="shared" si="10"/>
        <v>0.54095827187046175</v>
      </c>
      <c r="X84" s="5">
        <f t="shared" si="11"/>
        <v>0.34965553285888168</v>
      </c>
      <c r="Y84" s="5">
        <f t="shared" si="12"/>
        <v>0.49938499864738856</v>
      </c>
      <c r="Z84" s="78">
        <f t="shared" si="16"/>
        <v>0.34965553285888168</v>
      </c>
      <c r="AB84" t="str">
        <f t="shared" si="17"/>
        <v>control</v>
      </c>
      <c r="AC84" s="97">
        <f t="shared" si="18"/>
        <v>349.65553285888166</v>
      </c>
    </row>
    <row r="85" spans="2:29" x14ac:dyDescent="0.25">
      <c r="B85" s="150" t="s">
        <v>80</v>
      </c>
      <c r="E85" s="112">
        <v>70</v>
      </c>
      <c r="F85" s="24">
        <v>20316.7</v>
      </c>
      <c r="G85" s="39">
        <v>4.0899999999999999E-2</v>
      </c>
      <c r="H85" s="1">
        <f t="shared" si="0"/>
        <v>4.09</v>
      </c>
      <c r="I85" s="17" t="str">
        <f t="shared" si="1"/>
        <v>Racional</v>
      </c>
      <c r="J85" s="1">
        <v>351.6</v>
      </c>
      <c r="K85" s="15">
        <v>1445</v>
      </c>
      <c r="L85" s="15">
        <v>1262</v>
      </c>
      <c r="M85" s="17">
        <f t="shared" si="2"/>
        <v>183</v>
      </c>
      <c r="N85" s="5">
        <f t="shared" si="3"/>
        <v>2.289166503989712</v>
      </c>
      <c r="O85" s="5">
        <f t="shared" si="4"/>
        <v>5</v>
      </c>
      <c r="P85" s="49">
        <f t="shared" si="5"/>
        <v>47.039072454260264</v>
      </c>
      <c r="Q85" s="49">
        <f t="shared" si="6"/>
        <v>161.21273002762106</v>
      </c>
      <c r="R85" s="49">
        <f t="shared" si="7"/>
        <v>104.20197999105746</v>
      </c>
      <c r="S85" s="49">
        <f t="shared" si="8"/>
        <v>148.8233439677648</v>
      </c>
      <c r="T85" s="50">
        <v>31</v>
      </c>
      <c r="U85" s="5">
        <v>0.4</v>
      </c>
      <c r="V85" s="5">
        <f t="shared" si="9"/>
        <v>0.21376645148658274</v>
      </c>
      <c r="W85" s="5">
        <f t="shared" si="10"/>
        <v>0.73262229534774448</v>
      </c>
      <c r="X85" s="5">
        <f t="shared" si="11"/>
        <v>0.47354010907047223</v>
      </c>
      <c r="Y85" s="5">
        <f t="shared" si="12"/>
        <v>0.67631941869795331</v>
      </c>
      <c r="Z85" s="78">
        <f t="shared" si="16"/>
        <v>0.47354010907047223</v>
      </c>
      <c r="AB85" t="str">
        <f t="shared" si="17"/>
        <v>control</v>
      </c>
      <c r="AC85" s="97">
        <f t="shared" si="18"/>
        <v>473.54010907047223</v>
      </c>
    </row>
    <row r="86" spans="2:29" x14ac:dyDescent="0.25">
      <c r="B86" s="150" t="s">
        <v>80</v>
      </c>
      <c r="E86" s="112">
        <v>71</v>
      </c>
      <c r="F86" s="24">
        <v>20636.400000000001</v>
      </c>
      <c r="G86" s="39">
        <v>2.1100000000000001E-2</v>
      </c>
      <c r="H86" s="1">
        <f t="shared" ref="H86:H91" si="19">G86*100</f>
        <v>2.11</v>
      </c>
      <c r="I86" s="17" t="str">
        <f t="shared" ref="I86:I126" si="20">IF(G86&lt;=1.6,"Racional","SCS")</f>
        <v>Racional</v>
      </c>
      <c r="J86" s="1">
        <v>197.7</v>
      </c>
      <c r="K86" s="15">
        <v>1262</v>
      </c>
      <c r="L86" s="15">
        <v>1211</v>
      </c>
      <c r="M86" s="17">
        <f t="shared" ref="M86:M126" si="21">K86-L86</f>
        <v>51</v>
      </c>
      <c r="N86" s="5">
        <f t="shared" ref="N86:N126" si="22">0.0195*(((J86^3)/M86)^0.385)</f>
        <v>1.9253416092428564</v>
      </c>
      <c r="O86" s="5">
        <f t="shared" ref="O86:O126" si="23">IF(N86&lt;5,5,N86)</f>
        <v>5</v>
      </c>
      <c r="P86" s="49">
        <f t="shared" ref="P86:P126" si="24">40.053*(O86^-0.341)*$U$3</f>
        <v>47.039072454260264</v>
      </c>
      <c r="Q86" s="49">
        <f t="shared" ref="Q86:Q126" si="25">137.27*(O86^-0.341)*$U$4</f>
        <v>161.21273002762106</v>
      </c>
      <c r="R86" s="49">
        <f t="shared" ref="R86:R126" si="26">121.82*(O86^-0.4903)*$U$5</f>
        <v>104.20197999105746</v>
      </c>
      <c r="S86" s="49">
        <f t="shared" ref="S86:S126" si="27">177.26*(O86^-0.5938)*$U$6</f>
        <v>148.8233439677648</v>
      </c>
      <c r="T86" s="50">
        <v>30</v>
      </c>
      <c r="U86" s="5">
        <v>0.4</v>
      </c>
      <c r="V86" s="5">
        <f t="shared" ref="V86:V126" si="28">U86*P86*H86/360</f>
        <v>0.11028049208721018</v>
      </c>
      <c r="W86" s="5">
        <f t="shared" ref="W86:W126" si="29">U86*Q86*H86/360</f>
        <v>0.37795428928697822</v>
      </c>
      <c r="X86" s="5">
        <f t="shared" ref="X86:X126" si="30">U86*R86*H86/360</f>
        <v>0.24429575309014578</v>
      </c>
      <c r="Y86" s="5">
        <f t="shared" ref="Y86:Y126" si="31">U86*S86*H86/360</f>
        <v>0.34890806196887075</v>
      </c>
      <c r="Z86" s="78">
        <f t="shared" si="16"/>
        <v>0.24429575309014578</v>
      </c>
      <c r="AA86" s="96">
        <f>Z86+Z85+Z84+Z83</f>
        <v>1.2411613616712622</v>
      </c>
      <c r="AB86" t="str">
        <f t="shared" si="17"/>
        <v>control</v>
      </c>
      <c r="AC86" s="97">
        <f>AA86*1000</f>
        <v>1241.1613616712623</v>
      </c>
    </row>
    <row r="87" spans="2:29" x14ac:dyDescent="0.25">
      <c r="B87" s="111" t="s">
        <v>80</v>
      </c>
      <c r="E87" s="112">
        <v>72</v>
      </c>
      <c r="F87" s="24">
        <v>21163</v>
      </c>
      <c r="G87" s="39">
        <v>4.4699999999999997E-2</v>
      </c>
      <c r="H87" s="1">
        <f t="shared" si="19"/>
        <v>4.47</v>
      </c>
      <c r="I87" s="17" t="str">
        <f t="shared" si="20"/>
        <v>Racional</v>
      </c>
      <c r="J87" s="1">
        <v>526.1</v>
      </c>
      <c r="K87" s="15">
        <v>1309</v>
      </c>
      <c r="L87" s="15">
        <v>1164</v>
      </c>
      <c r="M87" s="17">
        <f t="shared" si="21"/>
        <v>145</v>
      </c>
      <c r="N87" s="5">
        <f t="shared" si="22"/>
        <v>3.9878775912037407</v>
      </c>
      <c r="O87" s="5">
        <f t="shared" si="23"/>
        <v>5</v>
      </c>
      <c r="P87" s="49">
        <f t="shared" si="24"/>
        <v>47.039072454260264</v>
      </c>
      <c r="Q87" s="49">
        <f t="shared" si="25"/>
        <v>161.21273002762106</v>
      </c>
      <c r="R87" s="49">
        <f t="shared" si="26"/>
        <v>104.20197999105746</v>
      </c>
      <c r="S87" s="49">
        <f t="shared" si="27"/>
        <v>148.8233439677648</v>
      </c>
      <c r="T87" s="50">
        <v>29</v>
      </c>
      <c r="U87" s="5">
        <v>0.4</v>
      </c>
      <c r="V87" s="5">
        <f t="shared" si="28"/>
        <v>0.23362739318949263</v>
      </c>
      <c r="W87" s="5">
        <f t="shared" si="29"/>
        <v>0.80068989247051781</v>
      </c>
      <c r="X87" s="5">
        <f t="shared" si="30"/>
        <v>0.51753650062225198</v>
      </c>
      <c r="Y87" s="5">
        <f t="shared" si="31"/>
        <v>0.73915594170656518</v>
      </c>
      <c r="Z87" s="78">
        <f t="shared" si="16"/>
        <v>0.51753650062225198</v>
      </c>
      <c r="AA87" t="s">
        <v>163</v>
      </c>
      <c r="AB87" t="str">
        <f t="shared" si="17"/>
        <v>control</v>
      </c>
      <c r="AC87" s="97">
        <f t="shared" si="18"/>
        <v>517.53650062225199</v>
      </c>
    </row>
    <row r="88" spans="2:29" x14ac:dyDescent="0.25">
      <c r="B88" s="111" t="s">
        <v>162</v>
      </c>
      <c r="E88" s="112">
        <v>73</v>
      </c>
      <c r="F88" s="24">
        <v>21321.1</v>
      </c>
      <c r="G88" s="39">
        <v>9.7999999999999997E-3</v>
      </c>
      <c r="H88" s="1">
        <f t="shared" si="19"/>
        <v>0.98</v>
      </c>
      <c r="I88" s="17" t="str">
        <f t="shared" si="20"/>
        <v>Racional</v>
      </c>
      <c r="J88" s="1">
        <v>230.3</v>
      </c>
      <c r="K88" s="15">
        <v>1178</v>
      </c>
      <c r="L88" s="15">
        <v>1145</v>
      </c>
      <c r="M88" s="17">
        <f t="shared" si="21"/>
        <v>33</v>
      </c>
      <c r="N88" s="5">
        <f t="shared" si="22"/>
        <v>2.7155402407902254</v>
      </c>
      <c r="O88" s="5">
        <f t="shared" si="23"/>
        <v>5</v>
      </c>
      <c r="P88" s="49">
        <f t="shared" si="24"/>
        <v>47.039072454260264</v>
      </c>
      <c r="Q88" s="49">
        <f t="shared" si="25"/>
        <v>161.21273002762106</v>
      </c>
      <c r="R88" s="49">
        <f t="shared" si="26"/>
        <v>104.20197999105746</v>
      </c>
      <c r="S88" s="49">
        <f t="shared" si="27"/>
        <v>148.8233439677648</v>
      </c>
      <c r="T88" s="50">
        <v>22</v>
      </c>
      <c r="U88" s="5">
        <v>0.4</v>
      </c>
      <c r="V88" s="5">
        <f t="shared" si="28"/>
        <v>5.1220323339083398E-2</v>
      </c>
      <c r="W88" s="5">
        <f t="shared" si="29"/>
        <v>0.1755427504745207</v>
      </c>
      <c r="X88" s="5">
        <f t="shared" si="30"/>
        <v>0.11346437821248477</v>
      </c>
      <c r="Y88" s="5">
        <f t="shared" si="31"/>
        <v>0.16205208565378834</v>
      </c>
      <c r="Z88" s="78">
        <f t="shared" si="16"/>
        <v>0.11346437821248477</v>
      </c>
      <c r="AA88" s="96">
        <f>Z88+Z87</f>
        <v>0.63100087883473677</v>
      </c>
      <c r="AB88" t="str">
        <f t="shared" si="17"/>
        <v>control</v>
      </c>
      <c r="AC88" s="97">
        <f>AA88*1000</f>
        <v>631.0008788347368</v>
      </c>
    </row>
    <row r="89" spans="2:29" x14ac:dyDescent="0.25">
      <c r="B89" s="111" t="s">
        <v>80</v>
      </c>
      <c r="E89" s="112">
        <v>74</v>
      </c>
      <c r="F89" s="79">
        <v>21370</v>
      </c>
      <c r="G89" s="39">
        <v>3.0999999999999999E-3</v>
      </c>
      <c r="H89" s="1">
        <f t="shared" si="19"/>
        <v>0.31</v>
      </c>
      <c r="I89" s="17" t="str">
        <f t="shared" si="20"/>
        <v>Racional</v>
      </c>
      <c r="J89" s="1">
        <v>163.6</v>
      </c>
      <c r="K89" s="15">
        <v>1180</v>
      </c>
      <c r="L89" s="15">
        <v>1145</v>
      </c>
      <c r="M89" s="17">
        <f t="shared" si="21"/>
        <v>35</v>
      </c>
      <c r="N89" s="5">
        <f t="shared" si="22"/>
        <v>1.7884966253039809</v>
      </c>
      <c r="O89" s="5">
        <f t="shared" si="23"/>
        <v>5</v>
      </c>
      <c r="P89" s="49">
        <f t="shared" si="24"/>
        <v>47.039072454260264</v>
      </c>
      <c r="Q89" s="49">
        <f t="shared" si="25"/>
        <v>161.21273002762106</v>
      </c>
      <c r="R89" s="49">
        <f t="shared" si="26"/>
        <v>104.20197999105746</v>
      </c>
      <c r="S89" s="49">
        <f t="shared" si="27"/>
        <v>148.8233439677648</v>
      </c>
      <c r="T89" s="50">
        <v>22</v>
      </c>
      <c r="U89" s="5">
        <v>0.4</v>
      </c>
      <c r="V89" s="5">
        <f t="shared" si="28"/>
        <v>1.6202347178689645E-2</v>
      </c>
      <c r="W89" s="5">
        <f t="shared" si="29"/>
        <v>5.5528829231736146E-2</v>
      </c>
      <c r="X89" s="5">
        <f t="shared" si="30"/>
        <v>3.5891793108030902E-2</v>
      </c>
      <c r="Y89" s="5">
        <f t="shared" si="31"/>
        <v>5.1261374033341217E-2</v>
      </c>
      <c r="Z89" s="78">
        <f t="shared" si="16"/>
        <v>3.5891793108030902E-2</v>
      </c>
      <c r="AA89" s="96">
        <f>Z89+AA88</f>
        <v>0.66689267194276769</v>
      </c>
      <c r="AB89" t="str">
        <f t="shared" si="17"/>
        <v>control</v>
      </c>
      <c r="AC89" s="97">
        <f>AA89*1000</f>
        <v>666.89267194276772</v>
      </c>
    </row>
    <row r="90" spans="2:29" x14ac:dyDescent="0.25">
      <c r="B90" s="150" t="s">
        <v>80</v>
      </c>
      <c r="E90" s="112">
        <v>75</v>
      </c>
      <c r="F90" s="24">
        <v>21800</v>
      </c>
      <c r="G90" s="39">
        <v>1.4200000000000001E-2</v>
      </c>
      <c r="H90" s="1">
        <f t="shared" si="19"/>
        <v>1.4200000000000002</v>
      </c>
      <c r="I90" s="17" t="str">
        <f t="shared" si="20"/>
        <v>Racional</v>
      </c>
      <c r="J90" s="1">
        <v>118.5</v>
      </c>
      <c r="K90" s="15">
        <v>1153</v>
      </c>
      <c r="L90" s="15">
        <v>1082</v>
      </c>
      <c r="M90" s="17">
        <f t="shared" si="21"/>
        <v>71</v>
      </c>
      <c r="N90" s="5">
        <f t="shared" si="22"/>
        <v>0.93852283055394747</v>
      </c>
      <c r="O90" s="5">
        <f t="shared" si="23"/>
        <v>5</v>
      </c>
      <c r="P90" s="49">
        <f t="shared" si="24"/>
        <v>47.039072454260264</v>
      </c>
      <c r="Q90" s="49">
        <f t="shared" si="25"/>
        <v>161.21273002762106</v>
      </c>
      <c r="R90" s="49">
        <f t="shared" si="26"/>
        <v>104.20197999105746</v>
      </c>
      <c r="S90" s="49">
        <f t="shared" si="27"/>
        <v>148.8233439677648</v>
      </c>
      <c r="T90" s="50">
        <v>17</v>
      </c>
      <c r="U90" s="5">
        <v>0.4</v>
      </c>
      <c r="V90" s="5">
        <f t="shared" si="28"/>
        <v>7.4217203205610649E-2</v>
      </c>
      <c r="W90" s="5">
        <f t="shared" si="29"/>
        <v>0.25435786293246881</v>
      </c>
      <c r="X90" s="5">
        <f t="shared" si="30"/>
        <v>0.16440756843033513</v>
      </c>
      <c r="Y90" s="5">
        <f t="shared" si="31"/>
        <v>0.23481016492691784</v>
      </c>
      <c r="Z90" s="78">
        <f t="shared" si="16"/>
        <v>0.16440756843033513</v>
      </c>
      <c r="AA90" t="s">
        <v>163</v>
      </c>
      <c r="AB90" t="str">
        <f t="shared" si="17"/>
        <v>control</v>
      </c>
      <c r="AC90" s="97">
        <f t="shared" si="18"/>
        <v>164.40756843033515</v>
      </c>
    </row>
    <row r="91" spans="2:29" x14ac:dyDescent="0.25">
      <c r="B91" s="150" t="s">
        <v>162</v>
      </c>
      <c r="E91" s="112">
        <v>76</v>
      </c>
      <c r="F91" s="24">
        <v>21915</v>
      </c>
      <c r="G91" s="39">
        <v>1.8E-3</v>
      </c>
      <c r="H91" s="1">
        <f t="shared" si="19"/>
        <v>0.18</v>
      </c>
      <c r="I91" s="17" t="str">
        <f t="shared" si="20"/>
        <v>Racional</v>
      </c>
      <c r="J91" s="1">
        <v>71.900000000000006</v>
      </c>
      <c r="K91" s="15">
        <v>1081</v>
      </c>
      <c r="L91" s="15">
        <v>1066</v>
      </c>
      <c r="M91" s="17">
        <f t="shared" si="21"/>
        <v>15</v>
      </c>
      <c r="N91" s="5">
        <f t="shared" si="22"/>
        <v>0.95887356324730044</v>
      </c>
      <c r="O91" s="5">
        <f t="shared" si="23"/>
        <v>5</v>
      </c>
      <c r="P91" s="49">
        <f t="shared" si="24"/>
        <v>47.039072454260264</v>
      </c>
      <c r="Q91" s="49">
        <f t="shared" si="25"/>
        <v>161.21273002762106</v>
      </c>
      <c r="R91" s="49">
        <f t="shared" si="26"/>
        <v>104.20197999105746</v>
      </c>
      <c r="S91" s="49">
        <f t="shared" si="27"/>
        <v>148.8233439677648</v>
      </c>
      <c r="T91" s="50">
        <v>10</v>
      </c>
      <c r="U91" s="5">
        <v>0.4</v>
      </c>
      <c r="V91" s="5">
        <f t="shared" si="28"/>
        <v>9.4078144908520522E-3</v>
      </c>
      <c r="W91" s="5">
        <f t="shared" si="29"/>
        <v>3.224254600552421E-2</v>
      </c>
      <c r="X91" s="5">
        <f t="shared" si="30"/>
        <v>2.084039599821149E-2</v>
      </c>
      <c r="Y91" s="5">
        <f t="shared" si="31"/>
        <v>2.9764668793552957E-2</v>
      </c>
      <c r="Z91" s="78">
        <f t="shared" si="16"/>
        <v>2.084039599821149E-2</v>
      </c>
      <c r="AA91" s="96">
        <f>Z91+Z90</f>
        <v>0.18524796442854663</v>
      </c>
      <c r="AB91" t="str">
        <f t="shared" si="17"/>
        <v>control</v>
      </c>
      <c r="AC91" s="97">
        <f>AA91*1000</f>
        <v>185.24796442854662</v>
      </c>
    </row>
    <row r="92" spans="2:29" x14ac:dyDescent="0.25">
      <c r="B92" s="150" t="s">
        <v>81</v>
      </c>
      <c r="E92" s="112">
        <v>77</v>
      </c>
      <c r="F92" s="24">
        <v>21980</v>
      </c>
      <c r="G92" s="39">
        <v>45.872399999999999</v>
      </c>
      <c r="H92" s="1">
        <f>G92*100</f>
        <v>4587.24</v>
      </c>
      <c r="I92" s="11" t="str">
        <f t="shared" si="20"/>
        <v>SCS</v>
      </c>
      <c r="J92" s="1">
        <v>13618</v>
      </c>
      <c r="K92" s="77">
        <v>4000</v>
      </c>
      <c r="L92" s="77">
        <v>1061</v>
      </c>
      <c r="M92" s="77">
        <f t="shared" si="21"/>
        <v>2939</v>
      </c>
      <c r="N92" s="5">
        <f t="shared" si="22"/>
        <v>53.663459496501602</v>
      </c>
      <c r="O92" s="5">
        <f t="shared" si="23"/>
        <v>53.663459496501602</v>
      </c>
      <c r="P92" s="49">
        <f t="shared" si="24"/>
        <v>20.940502334076083</v>
      </c>
      <c r="Q92" s="49">
        <f t="shared" si="25"/>
        <v>71.767476977969793</v>
      </c>
      <c r="R92" s="49">
        <f t="shared" si="26"/>
        <v>32.547640777787493</v>
      </c>
      <c r="S92" s="49">
        <f t="shared" si="27"/>
        <v>36.3610365248962</v>
      </c>
      <c r="T92" s="50"/>
      <c r="U92" s="5"/>
      <c r="V92" s="5"/>
      <c r="W92" s="5"/>
      <c r="X92" s="5"/>
      <c r="Y92" s="5"/>
      <c r="Z92" s="78">
        <f t="shared" si="16"/>
        <v>0</v>
      </c>
      <c r="AA92" t="s">
        <v>81</v>
      </c>
      <c r="AB92" t="str">
        <f t="shared" si="17"/>
        <v>control</v>
      </c>
      <c r="AC92" s="97">
        <f t="shared" si="18"/>
        <v>0</v>
      </c>
    </row>
    <row r="93" spans="2:29" x14ac:dyDescent="0.25">
      <c r="B93" s="150" t="s">
        <v>79</v>
      </c>
      <c r="E93" s="112">
        <v>78</v>
      </c>
      <c r="F93" s="24">
        <v>22197</v>
      </c>
      <c r="G93" s="39">
        <v>0.24629999999999999</v>
      </c>
      <c r="H93" s="1">
        <f t="shared" ref="H93:H126" si="32">G93*100</f>
        <v>24.63</v>
      </c>
      <c r="I93" s="17" t="str">
        <f t="shared" si="20"/>
        <v>Racional</v>
      </c>
      <c r="J93" s="1">
        <v>939</v>
      </c>
      <c r="K93" s="15">
        <v>1440</v>
      </c>
      <c r="L93" s="15">
        <v>1053</v>
      </c>
      <c r="M93" s="17">
        <f t="shared" si="21"/>
        <v>387</v>
      </c>
      <c r="N93" s="5">
        <f t="shared" si="22"/>
        <v>5.335739874437408</v>
      </c>
      <c r="O93" s="5">
        <f t="shared" si="23"/>
        <v>5.335739874437408</v>
      </c>
      <c r="P93" s="49">
        <f t="shared" si="24"/>
        <v>46.008083804787567</v>
      </c>
      <c r="Q93" s="49">
        <f t="shared" si="25"/>
        <v>157.67931650271368</v>
      </c>
      <c r="R93" s="49">
        <f t="shared" si="26"/>
        <v>100.93398685156293</v>
      </c>
      <c r="S93" s="49">
        <f t="shared" si="27"/>
        <v>143.1895303694773</v>
      </c>
      <c r="T93" s="50">
        <v>33</v>
      </c>
      <c r="U93" s="5">
        <v>0.4</v>
      </c>
      <c r="V93" s="5">
        <f t="shared" si="28"/>
        <v>1.2590878934576863</v>
      </c>
      <c r="W93" s="5">
        <f t="shared" si="29"/>
        <v>4.3151572949575971</v>
      </c>
      <c r="X93" s="5">
        <f t="shared" si="30"/>
        <v>2.7622267735044392</v>
      </c>
      <c r="Y93" s="5">
        <f t="shared" si="31"/>
        <v>3.9186201477780287</v>
      </c>
      <c r="Z93" s="78">
        <f t="shared" si="16"/>
        <v>2.7622267735044392</v>
      </c>
      <c r="AB93" t="str">
        <f t="shared" si="17"/>
        <v>0bligada</v>
      </c>
      <c r="AC93" s="97">
        <f t="shared" si="18"/>
        <v>2762.2267735044393</v>
      </c>
    </row>
    <row r="94" spans="2:29" x14ac:dyDescent="0.25">
      <c r="B94" s="150" t="s">
        <v>79</v>
      </c>
      <c r="E94" s="112">
        <v>79</v>
      </c>
      <c r="F94" s="24">
        <v>22325.8</v>
      </c>
      <c r="G94" s="39">
        <v>0.15390000000000001</v>
      </c>
      <c r="H94" s="1">
        <f t="shared" si="32"/>
        <v>15.39</v>
      </c>
      <c r="I94" s="17" t="str">
        <f t="shared" si="20"/>
        <v>Racional</v>
      </c>
      <c r="J94" s="1">
        <v>956.6</v>
      </c>
      <c r="K94" s="15">
        <v>1440</v>
      </c>
      <c r="L94" s="15">
        <v>1050</v>
      </c>
      <c r="M94" s="17">
        <f t="shared" si="21"/>
        <v>390</v>
      </c>
      <c r="N94" s="5">
        <f t="shared" si="22"/>
        <v>5.4352349549169263</v>
      </c>
      <c r="O94" s="5">
        <f t="shared" si="23"/>
        <v>5.4352349549169263</v>
      </c>
      <c r="P94" s="49">
        <f t="shared" si="24"/>
        <v>45.719142152561766</v>
      </c>
      <c r="Q94" s="49">
        <f t="shared" si="25"/>
        <v>156.68905308671395</v>
      </c>
      <c r="R94" s="49">
        <f t="shared" si="26"/>
        <v>100.02381636712207</v>
      </c>
      <c r="S94" s="49">
        <f t="shared" si="27"/>
        <v>141.62724504772004</v>
      </c>
      <c r="T94" s="50">
        <v>25</v>
      </c>
      <c r="U94" s="5">
        <v>0.4</v>
      </c>
      <c r="V94" s="5">
        <f t="shared" si="28"/>
        <v>0.78179733080880631</v>
      </c>
      <c r="W94" s="5">
        <f t="shared" si="29"/>
        <v>2.679382807782809</v>
      </c>
      <c r="X94" s="5">
        <f t="shared" si="30"/>
        <v>1.7104072598777877</v>
      </c>
      <c r="Y94" s="5">
        <f t="shared" si="31"/>
        <v>2.421825890316013</v>
      </c>
      <c r="Z94" s="78">
        <f t="shared" si="16"/>
        <v>1.7104072598777877</v>
      </c>
      <c r="AB94" t="str">
        <f t="shared" si="17"/>
        <v>control</v>
      </c>
      <c r="AC94" s="97">
        <f t="shared" si="18"/>
        <v>1710.4072598777877</v>
      </c>
    </row>
    <row r="95" spans="2:29" x14ac:dyDescent="0.25">
      <c r="B95" s="150" t="s">
        <v>80</v>
      </c>
      <c r="E95" s="112">
        <v>80</v>
      </c>
      <c r="F95" s="24">
        <v>22420</v>
      </c>
      <c r="G95" s="39">
        <v>5.1299999999999998E-2</v>
      </c>
      <c r="H95" s="1">
        <f t="shared" si="32"/>
        <v>5.13</v>
      </c>
      <c r="I95" s="17" t="str">
        <f t="shared" si="20"/>
        <v>Racional</v>
      </c>
      <c r="J95" s="1">
        <v>587.20000000000005</v>
      </c>
      <c r="K95" s="15">
        <v>1280</v>
      </c>
      <c r="L95" s="15">
        <v>1039</v>
      </c>
      <c r="M95" s="17">
        <f t="shared" si="21"/>
        <v>241</v>
      </c>
      <c r="N95" s="5">
        <f t="shared" si="22"/>
        <v>3.7231105694735858</v>
      </c>
      <c r="O95" s="5">
        <f t="shared" si="23"/>
        <v>5</v>
      </c>
      <c r="P95" s="49">
        <f t="shared" si="24"/>
        <v>47.039072454260264</v>
      </c>
      <c r="Q95" s="49">
        <f t="shared" si="25"/>
        <v>161.21273002762106</v>
      </c>
      <c r="R95" s="49">
        <f t="shared" si="26"/>
        <v>104.20197999105746</v>
      </c>
      <c r="S95" s="49">
        <f t="shared" si="27"/>
        <v>148.8233439677648</v>
      </c>
      <c r="T95" s="50">
        <v>25</v>
      </c>
      <c r="U95" s="5">
        <v>0.4</v>
      </c>
      <c r="V95" s="5">
        <f t="shared" si="28"/>
        <v>0.26812271298928353</v>
      </c>
      <c r="W95" s="5">
        <f t="shared" si="29"/>
        <v>0.91891256115744002</v>
      </c>
      <c r="X95" s="5">
        <f t="shared" si="30"/>
        <v>0.59395128594902746</v>
      </c>
      <c r="Y95" s="5">
        <f t="shared" si="31"/>
        <v>0.84829306061625942</v>
      </c>
      <c r="Z95" s="78">
        <f t="shared" si="16"/>
        <v>0.59395128594902746</v>
      </c>
      <c r="AB95" t="str">
        <f t="shared" si="17"/>
        <v>control</v>
      </c>
      <c r="AC95" s="97">
        <f t="shared" si="18"/>
        <v>593.95128594902746</v>
      </c>
    </row>
    <row r="96" spans="2:29" x14ac:dyDescent="0.25">
      <c r="B96" s="150" t="s">
        <v>162</v>
      </c>
      <c r="E96" s="112">
        <v>81</v>
      </c>
      <c r="F96" s="24">
        <v>22527.200000000001</v>
      </c>
      <c r="G96" s="39">
        <v>0.17660000000000001</v>
      </c>
      <c r="H96" s="1">
        <f t="shared" si="32"/>
        <v>17.66</v>
      </c>
      <c r="I96" s="17" t="str">
        <f t="shared" si="20"/>
        <v>Racional</v>
      </c>
      <c r="J96" s="1">
        <v>1172.8</v>
      </c>
      <c r="K96" s="15">
        <v>1480</v>
      </c>
      <c r="L96" s="15">
        <v>1034</v>
      </c>
      <c r="M96" s="17">
        <f t="shared" si="21"/>
        <v>446</v>
      </c>
      <c r="N96" s="5">
        <f t="shared" si="22"/>
        <v>6.5312207293064182</v>
      </c>
      <c r="O96" s="5">
        <f t="shared" si="23"/>
        <v>6.5312207293064182</v>
      </c>
      <c r="P96" s="49">
        <f t="shared" si="24"/>
        <v>42.943203959988175</v>
      </c>
      <c r="Q96" s="49">
        <f t="shared" si="25"/>
        <v>147.17533287363187</v>
      </c>
      <c r="R96" s="49">
        <f t="shared" si="26"/>
        <v>91.409057067664719</v>
      </c>
      <c r="S96" s="49">
        <f t="shared" si="27"/>
        <v>126.99183403692815</v>
      </c>
      <c r="T96" s="50">
        <v>20</v>
      </c>
      <c r="U96" s="5">
        <v>0.4</v>
      </c>
      <c r="V96" s="5">
        <f t="shared" si="28"/>
        <v>0.84264109103710139</v>
      </c>
      <c r="W96" s="5">
        <f t="shared" si="29"/>
        <v>2.8879070872759325</v>
      </c>
      <c r="X96" s="5">
        <f t="shared" si="30"/>
        <v>1.7936488309055101</v>
      </c>
      <c r="Y96" s="5">
        <f t="shared" si="31"/>
        <v>2.491861987880168</v>
      </c>
      <c r="Z96" s="78">
        <f t="shared" si="16"/>
        <v>1.7936488309055101</v>
      </c>
      <c r="AB96" t="str">
        <f t="shared" si="17"/>
        <v>control</v>
      </c>
      <c r="AC96" s="97">
        <f t="shared" si="18"/>
        <v>1793.6488309055101</v>
      </c>
    </row>
    <row r="97" spans="2:29" x14ac:dyDescent="0.25">
      <c r="B97" s="95" t="s">
        <v>79</v>
      </c>
      <c r="E97" s="112">
        <v>82</v>
      </c>
      <c r="F97" s="24">
        <v>22649.1</v>
      </c>
      <c r="G97" s="39">
        <v>0.37969999999999998</v>
      </c>
      <c r="H97" s="1">
        <f t="shared" si="32"/>
        <v>37.97</v>
      </c>
      <c r="I97" s="17" t="str">
        <f t="shared" si="20"/>
        <v>Racional</v>
      </c>
      <c r="J97" s="1">
        <v>1781.8</v>
      </c>
      <c r="K97" s="15">
        <v>1680</v>
      </c>
      <c r="L97" s="15">
        <v>1038</v>
      </c>
      <c r="M97" s="17">
        <f t="shared" si="21"/>
        <v>642</v>
      </c>
      <c r="N97" s="5">
        <f t="shared" si="22"/>
        <v>9.2018620474530906</v>
      </c>
      <c r="O97" s="5">
        <f t="shared" si="23"/>
        <v>9.2018620474530906</v>
      </c>
      <c r="P97" s="49">
        <f t="shared" si="24"/>
        <v>38.205501173775332</v>
      </c>
      <c r="Q97" s="49">
        <f t="shared" si="25"/>
        <v>130.93823549107785</v>
      </c>
      <c r="R97" s="49">
        <f t="shared" si="26"/>
        <v>77.266759697691725</v>
      </c>
      <c r="S97" s="49">
        <f t="shared" si="27"/>
        <v>103.60245477779662</v>
      </c>
      <c r="T97" s="50">
        <v>25</v>
      </c>
      <c r="U97" s="5">
        <v>0.4</v>
      </c>
      <c r="V97" s="5">
        <f t="shared" si="28"/>
        <v>1.6118476439647216</v>
      </c>
      <c r="W97" s="5">
        <f t="shared" si="29"/>
        <v>5.5241386684402505</v>
      </c>
      <c r="X97" s="5">
        <f t="shared" si="30"/>
        <v>3.2597987396903942</v>
      </c>
      <c r="Y97" s="5">
        <f t="shared" si="31"/>
        <v>4.3708724532365979</v>
      </c>
      <c r="Z97" s="78">
        <f t="shared" si="16"/>
        <v>3.2597987396903942</v>
      </c>
      <c r="AB97" t="str">
        <f t="shared" si="17"/>
        <v>0bligada</v>
      </c>
      <c r="AC97" s="97">
        <f t="shared" si="18"/>
        <v>3259.7987396903941</v>
      </c>
    </row>
    <row r="98" spans="2:29" x14ac:dyDescent="0.25">
      <c r="B98" s="150" t="s">
        <v>162</v>
      </c>
      <c r="E98" s="112">
        <v>83</v>
      </c>
      <c r="F98" s="24">
        <v>22730</v>
      </c>
      <c r="G98" s="39">
        <v>0.26140000000000002</v>
      </c>
      <c r="H98" s="1">
        <f t="shared" si="32"/>
        <v>26.14</v>
      </c>
      <c r="I98" s="17" t="str">
        <f t="shared" si="20"/>
        <v>Racional</v>
      </c>
      <c r="J98" s="1">
        <v>1615</v>
      </c>
      <c r="K98" s="15">
        <v>1640</v>
      </c>
      <c r="L98" s="15">
        <v>1032</v>
      </c>
      <c r="M98" s="17">
        <f t="shared" si="21"/>
        <v>608</v>
      </c>
      <c r="N98" s="5">
        <f t="shared" si="22"/>
        <v>8.3882429717904206</v>
      </c>
      <c r="O98" s="5">
        <f t="shared" si="23"/>
        <v>8.3882429717904206</v>
      </c>
      <c r="P98" s="49">
        <f t="shared" si="24"/>
        <v>39.430810980928584</v>
      </c>
      <c r="Q98" s="49">
        <f t="shared" si="25"/>
        <v>135.13762822640172</v>
      </c>
      <c r="R98" s="49">
        <f t="shared" si="26"/>
        <v>80.854663180613414</v>
      </c>
      <c r="S98" s="49">
        <f t="shared" si="27"/>
        <v>109.45701653852248</v>
      </c>
      <c r="T98" s="50">
        <v>20</v>
      </c>
      <c r="U98" s="5">
        <v>0.4</v>
      </c>
      <c r="V98" s="5">
        <f t="shared" si="28"/>
        <v>1.1452459989349701</v>
      </c>
      <c r="W98" s="5">
        <f t="shared" si="29"/>
        <v>3.9249973353757128</v>
      </c>
      <c r="X98" s="5">
        <f t="shared" si="30"/>
        <v>2.3483787728235939</v>
      </c>
      <c r="Y98" s="5">
        <f t="shared" si="31"/>
        <v>3.1791182359077532</v>
      </c>
      <c r="Z98" s="78">
        <f t="shared" si="16"/>
        <v>2.3483787728235939</v>
      </c>
      <c r="AB98" t="str">
        <f t="shared" si="17"/>
        <v>control</v>
      </c>
      <c r="AC98" s="97">
        <f t="shared" si="18"/>
        <v>2348.3787728235939</v>
      </c>
    </row>
    <row r="99" spans="2:29" x14ac:dyDescent="0.25">
      <c r="B99" s="150" t="s">
        <v>80</v>
      </c>
      <c r="E99" s="112">
        <v>84</v>
      </c>
      <c r="F99" s="24">
        <v>23131.9</v>
      </c>
      <c r="G99" s="39">
        <v>2.41E-2</v>
      </c>
      <c r="H99" s="1">
        <f t="shared" si="32"/>
        <v>2.41</v>
      </c>
      <c r="I99" s="17" t="str">
        <f t="shared" si="20"/>
        <v>Racional</v>
      </c>
      <c r="J99" s="1">
        <v>172.8</v>
      </c>
      <c r="K99" s="15">
        <v>1080</v>
      </c>
      <c r="L99" s="15">
        <v>1010</v>
      </c>
      <c r="M99" s="17">
        <f t="shared" si="21"/>
        <v>70</v>
      </c>
      <c r="N99" s="5">
        <f t="shared" si="22"/>
        <v>1.4589314402321372</v>
      </c>
      <c r="O99" s="5">
        <f t="shared" si="23"/>
        <v>5</v>
      </c>
      <c r="P99" s="49">
        <f t="shared" si="24"/>
        <v>47.039072454260264</v>
      </c>
      <c r="Q99" s="49">
        <f t="shared" si="25"/>
        <v>161.21273002762106</v>
      </c>
      <c r="R99" s="49">
        <f t="shared" si="26"/>
        <v>104.20197999105746</v>
      </c>
      <c r="S99" s="49">
        <f t="shared" si="27"/>
        <v>148.8233439677648</v>
      </c>
      <c r="T99" s="50">
        <v>14</v>
      </c>
      <c r="U99" s="5">
        <v>0.4</v>
      </c>
      <c r="V99" s="5">
        <f t="shared" si="28"/>
        <v>0.12596018290529692</v>
      </c>
      <c r="W99" s="5">
        <f t="shared" si="29"/>
        <v>0.43169186596285192</v>
      </c>
      <c r="X99" s="5">
        <f t="shared" si="30"/>
        <v>0.27902974642049833</v>
      </c>
      <c r="Y99" s="5">
        <f t="shared" si="31"/>
        <v>0.39851584329145912</v>
      </c>
      <c r="Z99" s="78">
        <f t="shared" si="16"/>
        <v>0.27902974642049833</v>
      </c>
      <c r="AB99" t="str">
        <f t="shared" si="17"/>
        <v>control</v>
      </c>
      <c r="AC99" s="97">
        <f t="shared" si="18"/>
        <v>279.02974642049833</v>
      </c>
    </row>
    <row r="100" spans="2:29" x14ac:dyDescent="0.25">
      <c r="B100" s="150" t="s">
        <v>80</v>
      </c>
      <c r="E100" s="112">
        <v>85</v>
      </c>
      <c r="F100" s="24">
        <v>23206.7</v>
      </c>
      <c r="G100" s="39">
        <v>2.5000000000000001E-2</v>
      </c>
      <c r="H100" s="1">
        <f t="shared" si="32"/>
        <v>2.5</v>
      </c>
      <c r="I100" s="17" t="str">
        <f t="shared" si="20"/>
        <v>Racional</v>
      </c>
      <c r="J100" s="1">
        <v>230.4</v>
      </c>
      <c r="K100" s="15">
        <v>1120</v>
      </c>
      <c r="L100" s="15">
        <v>1004</v>
      </c>
      <c r="M100" s="17">
        <f t="shared" si="21"/>
        <v>116</v>
      </c>
      <c r="N100" s="5">
        <f t="shared" si="22"/>
        <v>1.6745015113183077</v>
      </c>
      <c r="O100" s="5">
        <f t="shared" si="23"/>
        <v>5</v>
      </c>
      <c r="P100" s="49">
        <f t="shared" si="24"/>
        <v>47.039072454260264</v>
      </c>
      <c r="Q100" s="49">
        <f t="shared" si="25"/>
        <v>161.21273002762106</v>
      </c>
      <c r="R100" s="49">
        <f t="shared" si="26"/>
        <v>104.20197999105746</v>
      </c>
      <c r="S100" s="49">
        <f t="shared" si="27"/>
        <v>148.8233439677648</v>
      </c>
      <c r="T100" s="50">
        <v>25</v>
      </c>
      <c r="U100" s="5">
        <v>0.4</v>
      </c>
      <c r="V100" s="5">
        <f t="shared" si="28"/>
        <v>0.13066409015072294</v>
      </c>
      <c r="W100" s="5">
        <f t="shared" si="29"/>
        <v>0.44781313896561409</v>
      </c>
      <c r="X100" s="5">
        <f t="shared" si="30"/>
        <v>0.28944994441960403</v>
      </c>
      <c r="Y100" s="5">
        <f t="shared" si="31"/>
        <v>0.41339817768823556</v>
      </c>
      <c r="Z100" s="78">
        <f t="shared" si="16"/>
        <v>0.28944994441960403</v>
      </c>
      <c r="AB100" t="str">
        <f t="shared" si="17"/>
        <v>control</v>
      </c>
      <c r="AC100" s="97">
        <f t="shared" si="18"/>
        <v>289.44994441960404</v>
      </c>
    </row>
    <row r="101" spans="2:29" x14ac:dyDescent="0.25">
      <c r="B101" s="150" t="s">
        <v>162</v>
      </c>
      <c r="E101" s="112">
        <v>86</v>
      </c>
      <c r="F101" s="24">
        <v>23310.400000000001</v>
      </c>
      <c r="G101" s="39">
        <v>3.2500000000000001E-2</v>
      </c>
      <c r="H101" s="1">
        <f t="shared" si="32"/>
        <v>3.25</v>
      </c>
      <c r="I101" s="17" t="str">
        <f t="shared" si="20"/>
        <v>Racional</v>
      </c>
      <c r="J101" s="1">
        <v>377.3</v>
      </c>
      <c r="K101" s="15">
        <v>1150</v>
      </c>
      <c r="L101" s="15">
        <v>998</v>
      </c>
      <c r="M101" s="17">
        <f t="shared" si="21"/>
        <v>152</v>
      </c>
      <c r="N101" s="5">
        <f t="shared" si="22"/>
        <v>2.6674610708387676</v>
      </c>
      <c r="O101" s="5">
        <f t="shared" si="23"/>
        <v>5</v>
      </c>
      <c r="P101" s="49">
        <f t="shared" si="24"/>
        <v>47.039072454260264</v>
      </c>
      <c r="Q101" s="49">
        <f t="shared" si="25"/>
        <v>161.21273002762106</v>
      </c>
      <c r="R101" s="49">
        <f t="shared" si="26"/>
        <v>104.20197999105746</v>
      </c>
      <c r="S101" s="49">
        <f t="shared" si="27"/>
        <v>148.8233439677648</v>
      </c>
      <c r="T101" s="50">
        <v>25</v>
      </c>
      <c r="U101" s="5">
        <v>0.4</v>
      </c>
      <c r="V101" s="5">
        <f t="shared" si="28"/>
        <v>0.16986331719593983</v>
      </c>
      <c r="W101" s="5">
        <f t="shared" si="29"/>
        <v>0.58215708065529825</v>
      </c>
      <c r="X101" s="5">
        <f t="shared" si="30"/>
        <v>0.37628492774548522</v>
      </c>
      <c r="Y101" s="5">
        <f t="shared" si="31"/>
        <v>0.5374176309947063</v>
      </c>
      <c r="Z101" s="78">
        <f t="shared" si="16"/>
        <v>0.37628492774548522</v>
      </c>
      <c r="AB101" t="str">
        <f t="shared" si="17"/>
        <v>control</v>
      </c>
      <c r="AC101" s="97">
        <f t="shared" si="18"/>
        <v>376.28492774548522</v>
      </c>
    </row>
    <row r="102" spans="2:29" x14ac:dyDescent="0.25">
      <c r="B102" s="150" t="s">
        <v>80</v>
      </c>
      <c r="E102" s="112">
        <v>87</v>
      </c>
      <c r="F102" s="24">
        <v>23390</v>
      </c>
      <c r="G102" s="39">
        <v>4.5999999999999999E-2</v>
      </c>
      <c r="H102" s="1">
        <f t="shared" si="32"/>
        <v>4.5999999999999996</v>
      </c>
      <c r="I102" s="17" t="str">
        <f t="shared" si="20"/>
        <v>Racional</v>
      </c>
      <c r="J102" s="1">
        <v>558.29999999999995</v>
      </c>
      <c r="K102" s="15">
        <v>1200</v>
      </c>
      <c r="L102" s="15">
        <v>989</v>
      </c>
      <c r="M102" s="17">
        <f t="shared" si="21"/>
        <v>211</v>
      </c>
      <c r="N102" s="5">
        <f t="shared" si="22"/>
        <v>3.6967320795049869</v>
      </c>
      <c r="O102" s="5">
        <f t="shared" si="23"/>
        <v>5</v>
      </c>
      <c r="P102" s="49">
        <f t="shared" si="24"/>
        <v>47.039072454260264</v>
      </c>
      <c r="Q102" s="49">
        <f t="shared" si="25"/>
        <v>161.21273002762106</v>
      </c>
      <c r="R102" s="49">
        <f t="shared" si="26"/>
        <v>104.20197999105746</v>
      </c>
      <c r="S102" s="49">
        <f t="shared" si="27"/>
        <v>148.8233439677648</v>
      </c>
      <c r="T102" s="50">
        <v>27</v>
      </c>
      <c r="U102" s="5">
        <v>0.4</v>
      </c>
      <c r="V102" s="5">
        <f t="shared" si="28"/>
        <v>0.24042192587733022</v>
      </c>
      <c r="W102" s="5">
        <f t="shared" si="29"/>
        <v>0.82397617569672976</v>
      </c>
      <c r="X102" s="5">
        <f t="shared" si="30"/>
        <v>0.53258789773207138</v>
      </c>
      <c r="Y102" s="5">
        <f t="shared" si="31"/>
        <v>0.76065264694635337</v>
      </c>
      <c r="Z102" s="78">
        <f t="shared" si="16"/>
        <v>0.53258789773207138</v>
      </c>
      <c r="AB102" t="str">
        <f t="shared" si="17"/>
        <v>control</v>
      </c>
      <c r="AC102" s="97">
        <f t="shared" si="18"/>
        <v>532.58789773207138</v>
      </c>
    </row>
    <row r="103" spans="2:29" x14ac:dyDescent="0.25">
      <c r="B103" s="150" t="s">
        <v>80</v>
      </c>
      <c r="E103" s="112">
        <v>88</v>
      </c>
      <c r="F103" s="24">
        <v>23505</v>
      </c>
      <c r="G103" s="39">
        <v>1.17E-2</v>
      </c>
      <c r="H103" s="1">
        <f t="shared" si="32"/>
        <v>1.17</v>
      </c>
      <c r="I103" s="17" t="str">
        <f t="shared" si="20"/>
        <v>Racional</v>
      </c>
      <c r="J103" s="1">
        <v>230.6</v>
      </c>
      <c r="K103" s="15">
        <v>1120</v>
      </c>
      <c r="L103" s="15">
        <v>978</v>
      </c>
      <c r="M103" s="17">
        <f t="shared" si="21"/>
        <v>142</v>
      </c>
      <c r="N103" s="5">
        <f t="shared" si="22"/>
        <v>1.5506225438065615</v>
      </c>
      <c r="O103" s="5">
        <f t="shared" si="23"/>
        <v>5</v>
      </c>
      <c r="P103" s="49">
        <f t="shared" si="24"/>
        <v>47.039072454260264</v>
      </c>
      <c r="Q103" s="49">
        <f t="shared" si="25"/>
        <v>161.21273002762106</v>
      </c>
      <c r="R103" s="49">
        <f t="shared" si="26"/>
        <v>104.20197999105746</v>
      </c>
      <c r="S103" s="49">
        <f t="shared" si="27"/>
        <v>148.8233439677648</v>
      </c>
      <c r="T103" s="50">
        <v>30</v>
      </c>
      <c r="U103" s="5">
        <v>0.4</v>
      </c>
      <c r="V103" s="5">
        <f t="shared" si="28"/>
        <v>6.1150794190538336E-2</v>
      </c>
      <c r="W103" s="5">
        <f t="shared" si="29"/>
        <v>0.20957654903590736</v>
      </c>
      <c r="X103" s="5">
        <f t="shared" si="30"/>
        <v>0.13546257398837469</v>
      </c>
      <c r="Y103" s="5">
        <f t="shared" si="31"/>
        <v>0.19347034715809422</v>
      </c>
      <c r="Z103" s="78">
        <f t="shared" si="16"/>
        <v>0.13546257398837469</v>
      </c>
      <c r="AB103" t="str">
        <f t="shared" si="17"/>
        <v>control</v>
      </c>
      <c r="AC103" s="97">
        <f t="shared" si="18"/>
        <v>135.46257398837469</v>
      </c>
    </row>
    <row r="104" spans="2:29" x14ac:dyDescent="0.25">
      <c r="B104" s="150" t="s">
        <v>80</v>
      </c>
      <c r="E104" s="112">
        <v>89</v>
      </c>
      <c r="F104" s="24">
        <v>23619</v>
      </c>
      <c r="G104" s="39">
        <v>5.3499999999999999E-2</v>
      </c>
      <c r="H104" s="1">
        <f t="shared" si="32"/>
        <v>5.35</v>
      </c>
      <c r="I104" s="17" t="str">
        <f t="shared" si="20"/>
        <v>Racional</v>
      </c>
      <c r="J104" s="1">
        <v>493.5</v>
      </c>
      <c r="K104" s="15">
        <v>1200</v>
      </c>
      <c r="L104" s="15">
        <v>970</v>
      </c>
      <c r="M104" s="17">
        <f t="shared" si="21"/>
        <v>230</v>
      </c>
      <c r="N104" s="5">
        <f t="shared" si="22"/>
        <v>3.1011020696458567</v>
      </c>
      <c r="O104" s="5">
        <f t="shared" si="23"/>
        <v>5</v>
      </c>
      <c r="P104" s="49">
        <f t="shared" si="24"/>
        <v>47.039072454260264</v>
      </c>
      <c r="Q104" s="49">
        <f t="shared" si="25"/>
        <v>161.21273002762106</v>
      </c>
      <c r="R104" s="49">
        <f t="shared" si="26"/>
        <v>104.20197999105746</v>
      </c>
      <c r="S104" s="49">
        <f t="shared" si="27"/>
        <v>148.8233439677648</v>
      </c>
      <c r="T104" s="50">
        <v>33</v>
      </c>
      <c r="U104" s="5">
        <v>0.4</v>
      </c>
      <c r="V104" s="5">
        <f t="shared" si="28"/>
        <v>0.27962115292254708</v>
      </c>
      <c r="W104" s="5">
        <f t="shared" si="29"/>
        <v>0.95832011738641398</v>
      </c>
      <c r="X104" s="5">
        <f t="shared" si="30"/>
        <v>0.61942288105795262</v>
      </c>
      <c r="Y104" s="5">
        <f t="shared" si="31"/>
        <v>0.88467210025282417</v>
      </c>
      <c r="Z104" s="78">
        <f t="shared" si="16"/>
        <v>0.61942288105795262</v>
      </c>
      <c r="AB104" t="str">
        <f t="shared" si="17"/>
        <v>control</v>
      </c>
      <c r="AC104" s="97">
        <f t="shared" si="18"/>
        <v>619.42288105795262</v>
      </c>
    </row>
    <row r="105" spans="2:29" x14ac:dyDescent="0.25">
      <c r="B105" s="150" t="s">
        <v>79</v>
      </c>
      <c r="E105" s="112">
        <v>90</v>
      </c>
      <c r="F105" s="24">
        <v>23881.7</v>
      </c>
      <c r="G105" s="39">
        <v>0.50429999999999997</v>
      </c>
      <c r="H105" s="1">
        <f t="shared" si="32"/>
        <v>50.43</v>
      </c>
      <c r="I105" s="17" t="str">
        <f t="shared" si="20"/>
        <v>Racional</v>
      </c>
      <c r="J105" s="1">
        <v>909.6</v>
      </c>
      <c r="K105" s="15">
        <v>1490</v>
      </c>
      <c r="L105" s="15">
        <v>954</v>
      </c>
      <c r="M105" s="17">
        <f t="shared" si="21"/>
        <v>536</v>
      </c>
      <c r="N105" s="5">
        <f t="shared" si="22"/>
        <v>4.5371009149248263</v>
      </c>
      <c r="O105" s="5">
        <f t="shared" si="23"/>
        <v>5</v>
      </c>
      <c r="P105" s="49">
        <f t="shared" si="24"/>
        <v>47.039072454260264</v>
      </c>
      <c r="Q105" s="49">
        <f t="shared" si="25"/>
        <v>161.21273002762106</v>
      </c>
      <c r="R105" s="49">
        <f t="shared" si="26"/>
        <v>104.20197999105746</v>
      </c>
      <c r="S105" s="49">
        <f t="shared" si="27"/>
        <v>148.8233439677648</v>
      </c>
      <c r="T105" s="50">
        <v>40</v>
      </c>
      <c r="U105" s="5">
        <v>0.45</v>
      </c>
      <c r="V105" s="5">
        <f t="shared" si="28"/>
        <v>2.9652255298354318</v>
      </c>
      <c r="W105" s="5">
        <f t="shared" si="29"/>
        <v>10.162447469116161</v>
      </c>
      <c r="X105" s="5">
        <f t="shared" si="30"/>
        <v>6.568632313686285</v>
      </c>
      <c r="Y105" s="5">
        <f t="shared" si="31"/>
        <v>9.3814515453679732</v>
      </c>
      <c r="Z105" s="78">
        <f t="shared" si="16"/>
        <v>6.568632313686285</v>
      </c>
      <c r="AB105" t="str">
        <f t="shared" si="17"/>
        <v>0bligada</v>
      </c>
      <c r="AC105" s="97">
        <f t="shared" si="18"/>
        <v>6568.6323136862848</v>
      </c>
    </row>
    <row r="106" spans="2:29" x14ac:dyDescent="0.25">
      <c r="B106" s="150" t="s">
        <v>80</v>
      </c>
      <c r="E106" s="112">
        <v>91</v>
      </c>
      <c r="F106" s="24">
        <v>24008.2</v>
      </c>
      <c r="G106" s="39">
        <v>1.0200000000000001E-2</v>
      </c>
      <c r="H106" s="1">
        <f t="shared" si="32"/>
        <v>1.02</v>
      </c>
      <c r="I106" s="17" t="str">
        <f t="shared" si="20"/>
        <v>Racional</v>
      </c>
      <c r="J106" s="1">
        <v>149.30000000000001</v>
      </c>
      <c r="K106" s="15">
        <v>1040</v>
      </c>
      <c r="L106" s="15">
        <v>955</v>
      </c>
      <c r="M106" s="17">
        <f t="shared" si="21"/>
        <v>85</v>
      </c>
      <c r="N106" s="5">
        <f t="shared" si="22"/>
        <v>1.1435295794202618</v>
      </c>
      <c r="O106" s="5">
        <f t="shared" si="23"/>
        <v>5</v>
      </c>
      <c r="P106" s="49">
        <f t="shared" si="24"/>
        <v>47.039072454260264</v>
      </c>
      <c r="Q106" s="49">
        <f t="shared" si="25"/>
        <v>161.21273002762106</v>
      </c>
      <c r="R106" s="49">
        <f t="shared" si="26"/>
        <v>104.20197999105746</v>
      </c>
      <c r="S106" s="49">
        <f t="shared" si="27"/>
        <v>148.8233439677648</v>
      </c>
      <c r="T106" s="50">
        <v>29</v>
      </c>
      <c r="U106" s="5">
        <v>0.4</v>
      </c>
      <c r="V106" s="5">
        <f t="shared" si="28"/>
        <v>5.3310948781494963E-2</v>
      </c>
      <c r="W106" s="5">
        <f t="shared" si="29"/>
        <v>0.18270776069797054</v>
      </c>
      <c r="X106" s="5">
        <f t="shared" si="30"/>
        <v>0.11809557732319846</v>
      </c>
      <c r="Y106" s="5">
        <f t="shared" si="31"/>
        <v>0.16866645649680009</v>
      </c>
      <c r="Z106" s="78">
        <f t="shared" si="16"/>
        <v>0.11809557732319846</v>
      </c>
      <c r="AB106" t="str">
        <f t="shared" si="17"/>
        <v>control</v>
      </c>
      <c r="AC106" s="97">
        <f t="shared" si="18"/>
        <v>118.09557732319846</v>
      </c>
    </row>
    <row r="107" spans="2:29" x14ac:dyDescent="0.25">
      <c r="B107" s="150" t="s">
        <v>80</v>
      </c>
      <c r="E107" s="112">
        <v>92</v>
      </c>
      <c r="F107" s="24">
        <v>24094</v>
      </c>
      <c r="G107" s="39">
        <v>4.2599999999999999E-2</v>
      </c>
      <c r="H107" s="1">
        <f t="shared" si="32"/>
        <v>4.26</v>
      </c>
      <c r="I107" s="17" t="str">
        <f t="shared" si="20"/>
        <v>Racional</v>
      </c>
      <c r="J107" s="1">
        <v>319.89999999999998</v>
      </c>
      <c r="K107" s="15">
        <v>1120</v>
      </c>
      <c r="L107" s="15">
        <v>952</v>
      </c>
      <c r="M107" s="17">
        <f t="shared" si="21"/>
        <v>168</v>
      </c>
      <c r="N107" s="5">
        <f t="shared" si="22"/>
        <v>2.1212017912906109</v>
      </c>
      <c r="O107" s="5">
        <f t="shared" si="23"/>
        <v>5</v>
      </c>
      <c r="P107" s="49">
        <f t="shared" si="24"/>
        <v>47.039072454260264</v>
      </c>
      <c r="Q107" s="49">
        <f t="shared" si="25"/>
        <v>161.21273002762106</v>
      </c>
      <c r="R107" s="49">
        <f t="shared" si="26"/>
        <v>104.20197999105746</v>
      </c>
      <c r="S107" s="49">
        <f t="shared" si="27"/>
        <v>148.8233439677648</v>
      </c>
      <c r="T107" s="50">
        <v>23</v>
      </c>
      <c r="U107" s="5">
        <v>0.4</v>
      </c>
      <c r="V107" s="5">
        <f t="shared" si="28"/>
        <v>0.22265160961683192</v>
      </c>
      <c r="W107" s="5">
        <f t="shared" si="29"/>
        <v>0.76307358879740628</v>
      </c>
      <c r="X107" s="5">
        <f t="shared" si="30"/>
        <v>0.49322270529100531</v>
      </c>
      <c r="Y107" s="5">
        <f t="shared" si="31"/>
        <v>0.70443049478075337</v>
      </c>
      <c r="Z107" s="78">
        <f t="shared" si="16"/>
        <v>0.49322270529100531</v>
      </c>
      <c r="AB107" t="str">
        <f t="shared" si="17"/>
        <v>control</v>
      </c>
      <c r="AC107" s="97">
        <f t="shared" si="18"/>
        <v>493.2227052910053</v>
      </c>
    </row>
    <row r="108" spans="2:29" x14ac:dyDescent="0.25">
      <c r="B108" s="150" t="s">
        <v>162</v>
      </c>
      <c r="E108" s="112">
        <v>93</v>
      </c>
      <c r="F108" s="24">
        <v>24300.5</v>
      </c>
      <c r="G108" s="39">
        <v>4.41E-2</v>
      </c>
      <c r="H108" s="1">
        <f t="shared" si="32"/>
        <v>4.41</v>
      </c>
      <c r="I108" s="17" t="str">
        <f t="shared" si="20"/>
        <v>Racional</v>
      </c>
      <c r="J108" s="1">
        <v>269.8</v>
      </c>
      <c r="K108" s="15">
        <v>1040</v>
      </c>
      <c r="L108" s="15">
        <v>921</v>
      </c>
      <c r="M108" s="17">
        <f t="shared" si="21"/>
        <v>119</v>
      </c>
      <c r="N108" s="5">
        <f t="shared" si="22"/>
        <v>1.9897681646984482</v>
      </c>
      <c r="O108" s="5">
        <f t="shared" si="23"/>
        <v>5</v>
      </c>
      <c r="P108" s="49">
        <f t="shared" si="24"/>
        <v>47.039072454260264</v>
      </c>
      <c r="Q108" s="49">
        <f t="shared" si="25"/>
        <v>161.21273002762106</v>
      </c>
      <c r="R108" s="49">
        <f t="shared" si="26"/>
        <v>104.20197999105746</v>
      </c>
      <c r="S108" s="49">
        <f t="shared" si="27"/>
        <v>148.8233439677648</v>
      </c>
      <c r="T108" s="50">
        <v>18</v>
      </c>
      <c r="U108" s="5">
        <v>0.4</v>
      </c>
      <c r="V108" s="5">
        <f t="shared" si="28"/>
        <v>0.23049145502587531</v>
      </c>
      <c r="W108" s="5">
        <f t="shared" si="29"/>
        <v>0.78994237713534321</v>
      </c>
      <c r="X108" s="5">
        <f t="shared" si="30"/>
        <v>0.51058970195618159</v>
      </c>
      <c r="Y108" s="5">
        <f t="shared" si="31"/>
        <v>0.72923438544204755</v>
      </c>
      <c r="Z108" s="78">
        <f t="shared" si="16"/>
        <v>0.51058970195618159</v>
      </c>
      <c r="AB108" t="str">
        <f t="shared" si="17"/>
        <v>control</v>
      </c>
      <c r="AC108" s="97">
        <f t="shared" si="18"/>
        <v>510.58970195618156</v>
      </c>
    </row>
    <row r="109" spans="2:29" x14ac:dyDescent="0.25">
      <c r="B109" s="150" t="s">
        <v>80</v>
      </c>
      <c r="E109" s="112">
        <v>94</v>
      </c>
      <c r="F109" s="24">
        <v>24422</v>
      </c>
      <c r="G109" s="39">
        <v>1.78E-2</v>
      </c>
      <c r="H109" s="1">
        <f t="shared" si="32"/>
        <v>1.78</v>
      </c>
      <c r="I109" s="17" t="str">
        <f t="shared" si="20"/>
        <v>Racional</v>
      </c>
      <c r="J109" s="1">
        <v>176.4</v>
      </c>
      <c r="K109" s="15">
        <v>960</v>
      </c>
      <c r="L109" s="15">
        <v>907</v>
      </c>
      <c r="M109" s="17">
        <f t="shared" si="21"/>
        <v>53</v>
      </c>
      <c r="N109" s="5">
        <f t="shared" si="22"/>
        <v>1.6630077088305268</v>
      </c>
      <c r="O109" s="5">
        <f t="shared" si="23"/>
        <v>5</v>
      </c>
      <c r="P109" s="49">
        <f t="shared" si="24"/>
        <v>47.039072454260264</v>
      </c>
      <c r="Q109" s="49">
        <f t="shared" si="25"/>
        <v>161.21273002762106</v>
      </c>
      <c r="R109" s="49">
        <f t="shared" si="26"/>
        <v>104.20197999105746</v>
      </c>
      <c r="S109" s="49">
        <f t="shared" si="27"/>
        <v>148.8233439677648</v>
      </c>
      <c r="T109" s="50">
        <v>13</v>
      </c>
      <c r="U109" s="5">
        <v>0.4</v>
      </c>
      <c r="V109" s="5">
        <f t="shared" si="28"/>
        <v>9.3032832187314743E-2</v>
      </c>
      <c r="W109" s="5">
        <f t="shared" si="29"/>
        <v>0.31884295494351722</v>
      </c>
      <c r="X109" s="5">
        <f t="shared" si="30"/>
        <v>0.20608836042675807</v>
      </c>
      <c r="Y109" s="5">
        <f t="shared" si="31"/>
        <v>0.29433950251402374</v>
      </c>
      <c r="Z109" s="78">
        <f t="shared" si="16"/>
        <v>0.20608836042675807</v>
      </c>
      <c r="AB109" t="str">
        <f t="shared" si="17"/>
        <v>control</v>
      </c>
      <c r="AC109" s="97">
        <f t="shared" si="18"/>
        <v>206.08836042675807</v>
      </c>
    </row>
    <row r="110" spans="2:29" x14ac:dyDescent="0.25">
      <c r="B110" s="150" t="s">
        <v>80</v>
      </c>
      <c r="E110" s="112">
        <v>95</v>
      </c>
      <c r="F110" s="24">
        <v>24526.1</v>
      </c>
      <c r="G110" s="39">
        <v>1.0699999999999999E-2</v>
      </c>
      <c r="H110" s="1">
        <f t="shared" si="32"/>
        <v>1.0699999999999998</v>
      </c>
      <c r="I110" s="17" t="str">
        <f t="shared" si="20"/>
        <v>Racional</v>
      </c>
      <c r="J110" s="1">
        <v>69.5</v>
      </c>
      <c r="K110" s="15">
        <v>942</v>
      </c>
      <c r="L110" s="15">
        <v>901</v>
      </c>
      <c r="M110" s="17">
        <f t="shared" si="21"/>
        <v>41</v>
      </c>
      <c r="N110" s="5">
        <f t="shared" si="22"/>
        <v>0.62604460284170582</v>
      </c>
      <c r="O110" s="5">
        <f t="shared" si="23"/>
        <v>5</v>
      </c>
      <c r="P110" s="49">
        <f t="shared" si="24"/>
        <v>47.039072454260264</v>
      </c>
      <c r="Q110" s="49">
        <f t="shared" si="25"/>
        <v>161.21273002762106</v>
      </c>
      <c r="R110" s="49">
        <f t="shared" si="26"/>
        <v>104.20197999105746</v>
      </c>
      <c r="S110" s="49">
        <f t="shared" si="27"/>
        <v>148.8233439677648</v>
      </c>
      <c r="T110" s="50">
        <v>13</v>
      </c>
      <c r="U110" s="5">
        <v>0.4</v>
      </c>
      <c r="V110" s="5">
        <f t="shared" si="28"/>
        <v>5.5924230584509418E-2</v>
      </c>
      <c r="W110" s="5">
        <f t="shared" si="29"/>
        <v>0.19166402347728279</v>
      </c>
      <c r="X110" s="5">
        <f t="shared" si="30"/>
        <v>0.12388457621159052</v>
      </c>
      <c r="Y110" s="5">
        <f t="shared" si="31"/>
        <v>0.17693442005056478</v>
      </c>
      <c r="Z110" s="78">
        <f t="shared" si="16"/>
        <v>0.12388457621159052</v>
      </c>
      <c r="AB110" t="str">
        <f t="shared" si="17"/>
        <v>control</v>
      </c>
      <c r="AC110" s="97">
        <f t="shared" si="18"/>
        <v>123.88457621159051</v>
      </c>
    </row>
    <row r="111" spans="2:29" x14ac:dyDescent="0.25">
      <c r="B111" s="150" t="s">
        <v>80</v>
      </c>
      <c r="E111" s="112">
        <v>96</v>
      </c>
      <c r="F111" s="24">
        <v>24618.5</v>
      </c>
      <c r="G111" s="39">
        <v>1.9199999999999998E-2</v>
      </c>
      <c r="H111" s="1">
        <f t="shared" si="32"/>
        <v>1.92</v>
      </c>
      <c r="I111" s="17" t="str">
        <f t="shared" si="20"/>
        <v>Racional</v>
      </c>
      <c r="J111" s="1">
        <v>192.5</v>
      </c>
      <c r="K111" s="15">
        <v>960</v>
      </c>
      <c r="L111" s="15">
        <v>885</v>
      </c>
      <c r="M111" s="17">
        <f t="shared" si="21"/>
        <v>75</v>
      </c>
      <c r="N111" s="5">
        <f t="shared" si="22"/>
        <v>1.6093611844790301</v>
      </c>
      <c r="O111" s="5">
        <f t="shared" si="23"/>
        <v>5</v>
      </c>
      <c r="P111" s="49">
        <f t="shared" si="24"/>
        <v>47.039072454260264</v>
      </c>
      <c r="Q111" s="49">
        <f t="shared" si="25"/>
        <v>161.21273002762106</v>
      </c>
      <c r="R111" s="49">
        <f t="shared" si="26"/>
        <v>104.20197999105746</v>
      </c>
      <c r="S111" s="49">
        <f t="shared" si="27"/>
        <v>148.8233439677648</v>
      </c>
      <c r="T111" s="50">
        <v>16</v>
      </c>
      <c r="U111" s="5">
        <v>0.4</v>
      </c>
      <c r="V111" s="5">
        <f t="shared" si="28"/>
        <v>0.10035002123575523</v>
      </c>
      <c r="W111" s="5">
        <f t="shared" si="29"/>
        <v>0.34392049072559155</v>
      </c>
      <c r="X111" s="5">
        <f t="shared" si="30"/>
        <v>0.22229755731425591</v>
      </c>
      <c r="Y111" s="5">
        <f t="shared" si="31"/>
        <v>0.31748980046456488</v>
      </c>
      <c r="Z111" s="78">
        <f t="shared" si="16"/>
        <v>0.22229755731425591</v>
      </c>
      <c r="AB111" t="str">
        <f t="shared" si="17"/>
        <v>control</v>
      </c>
      <c r="AC111" s="97">
        <f t="shared" si="18"/>
        <v>222.2975573142559</v>
      </c>
    </row>
    <row r="112" spans="2:29" x14ac:dyDescent="0.25">
      <c r="B112" s="150" t="s">
        <v>80</v>
      </c>
      <c r="E112" s="112">
        <v>97</v>
      </c>
      <c r="F112" s="24">
        <v>24746.400000000001</v>
      </c>
      <c r="G112" s="39">
        <v>3.0800000000000001E-2</v>
      </c>
      <c r="H112" s="1">
        <f t="shared" si="32"/>
        <v>3.08</v>
      </c>
      <c r="I112" s="17" t="str">
        <f t="shared" si="20"/>
        <v>Racional</v>
      </c>
      <c r="J112" s="1">
        <v>251</v>
      </c>
      <c r="K112" s="15">
        <v>920</v>
      </c>
      <c r="L112" s="15">
        <v>871</v>
      </c>
      <c r="M112" s="17">
        <f t="shared" si="21"/>
        <v>49</v>
      </c>
      <c r="N112" s="5">
        <f t="shared" si="22"/>
        <v>2.575919393764877</v>
      </c>
      <c r="O112" s="5">
        <f t="shared" si="23"/>
        <v>5</v>
      </c>
      <c r="P112" s="49">
        <f t="shared" si="24"/>
        <v>47.039072454260264</v>
      </c>
      <c r="Q112" s="49">
        <f t="shared" si="25"/>
        <v>161.21273002762106</v>
      </c>
      <c r="R112" s="49">
        <f t="shared" si="26"/>
        <v>104.20197999105746</v>
      </c>
      <c r="S112" s="49">
        <f t="shared" si="27"/>
        <v>148.8233439677648</v>
      </c>
      <c r="T112" s="50">
        <v>10</v>
      </c>
      <c r="U112" s="5">
        <v>0.4</v>
      </c>
      <c r="V112" s="5">
        <f t="shared" si="28"/>
        <v>0.16097815906569068</v>
      </c>
      <c r="W112" s="5">
        <f t="shared" si="29"/>
        <v>0.55170578720563646</v>
      </c>
      <c r="X112" s="5">
        <f t="shared" si="30"/>
        <v>0.35660233152495224</v>
      </c>
      <c r="Y112" s="5">
        <f t="shared" si="31"/>
        <v>0.50930655491190624</v>
      </c>
      <c r="Z112" s="78">
        <f t="shared" si="16"/>
        <v>0.35660233152495224</v>
      </c>
      <c r="AB112" t="str">
        <f t="shared" si="17"/>
        <v>control</v>
      </c>
      <c r="AC112" s="97">
        <f t="shared" si="18"/>
        <v>356.60233152495226</v>
      </c>
    </row>
    <row r="113" spans="2:29" x14ac:dyDescent="0.25">
      <c r="B113" s="150" t="s">
        <v>80</v>
      </c>
      <c r="E113" s="112">
        <v>98</v>
      </c>
      <c r="F113" s="24">
        <v>24917.200000000001</v>
      </c>
      <c r="G113" s="39">
        <v>1.4E-2</v>
      </c>
      <c r="H113" s="1">
        <f t="shared" si="32"/>
        <v>1.4000000000000001</v>
      </c>
      <c r="I113" s="17" t="str">
        <f t="shared" si="20"/>
        <v>Racional</v>
      </c>
      <c r="J113" s="1">
        <v>133.4</v>
      </c>
      <c r="K113" s="15">
        <v>900</v>
      </c>
      <c r="L113" s="15">
        <v>874</v>
      </c>
      <c r="M113" s="17">
        <f t="shared" si="21"/>
        <v>26</v>
      </c>
      <c r="N113" s="5">
        <f t="shared" si="22"/>
        <v>1.5842541577095139</v>
      </c>
      <c r="O113" s="5">
        <f t="shared" si="23"/>
        <v>5</v>
      </c>
      <c r="P113" s="49">
        <f t="shared" si="24"/>
        <v>47.039072454260264</v>
      </c>
      <c r="Q113" s="49">
        <f t="shared" si="25"/>
        <v>161.21273002762106</v>
      </c>
      <c r="R113" s="49">
        <f t="shared" si="26"/>
        <v>104.20197999105746</v>
      </c>
      <c r="S113" s="49">
        <f t="shared" si="27"/>
        <v>148.8233439677648</v>
      </c>
      <c r="T113" s="50">
        <v>11</v>
      </c>
      <c r="U113" s="5">
        <v>0.4</v>
      </c>
      <c r="V113" s="5">
        <f t="shared" si="28"/>
        <v>7.3171890484404867E-2</v>
      </c>
      <c r="W113" s="5">
        <f t="shared" si="29"/>
        <v>0.25077535782074389</v>
      </c>
      <c r="X113" s="5">
        <f t="shared" si="30"/>
        <v>0.16209196887497829</v>
      </c>
      <c r="Y113" s="5">
        <f t="shared" si="31"/>
        <v>0.23150297950541193</v>
      </c>
      <c r="Z113" s="78">
        <f t="shared" si="16"/>
        <v>0.16209196887497829</v>
      </c>
      <c r="AB113" t="str">
        <f t="shared" si="17"/>
        <v>control</v>
      </c>
      <c r="AC113" s="97">
        <f t="shared" si="18"/>
        <v>162.09196887497828</v>
      </c>
    </row>
    <row r="114" spans="2:29" x14ac:dyDescent="0.25">
      <c r="B114" s="150" t="s">
        <v>80</v>
      </c>
      <c r="E114" s="112">
        <v>99</v>
      </c>
      <c r="F114" s="24">
        <v>25071.9</v>
      </c>
      <c r="G114" s="39">
        <v>9.4000000000000004E-3</v>
      </c>
      <c r="H114" s="1">
        <f t="shared" si="32"/>
        <v>0.94000000000000006</v>
      </c>
      <c r="I114" s="17" t="str">
        <f t="shared" si="20"/>
        <v>Racional</v>
      </c>
      <c r="J114" s="1">
        <v>129.6</v>
      </c>
      <c r="K114" s="15">
        <v>903</v>
      </c>
      <c r="L114" s="15">
        <v>862</v>
      </c>
      <c r="M114" s="17">
        <f t="shared" si="21"/>
        <v>41</v>
      </c>
      <c r="N114" s="5">
        <f t="shared" si="22"/>
        <v>1.2857946171464378</v>
      </c>
      <c r="O114" s="5">
        <f t="shared" si="23"/>
        <v>5</v>
      </c>
      <c r="P114" s="49">
        <f t="shared" si="24"/>
        <v>47.039072454260264</v>
      </c>
      <c r="Q114" s="49">
        <f t="shared" si="25"/>
        <v>161.21273002762106</v>
      </c>
      <c r="R114" s="49">
        <f t="shared" si="26"/>
        <v>104.20197999105746</v>
      </c>
      <c r="S114" s="49">
        <f t="shared" si="27"/>
        <v>148.8233439677648</v>
      </c>
      <c r="T114" s="50">
        <v>16</v>
      </c>
      <c r="U114" s="5">
        <v>0.4</v>
      </c>
      <c r="V114" s="5">
        <f t="shared" si="28"/>
        <v>4.9129697896671834E-2</v>
      </c>
      <c r="W114" s="5">
        <f t="shared" si="29"/>
        <v>0.16837774025107091</v>
      </c>
      <c r="X114" s="5">
        <f t="shared" si="30"/>
        <v>0.10883317910177114</v>
      </c>
      <c r="Y114" s="5">
        <f t="shared" si="31"/>
        <v>0.15543771481077659</v>
      </c>
      <c r="Z114" s="78">
        <f t="shared" si="16"/>
        <v>0.10883317910177114</v>
      </c>
      <c r="AB114" t="str">
        <f t="shared" si="17"/>
        <v>control</v>
      </c>
      <c r="AC114" s="97">
        <f t="shared" si="18"/>
        <v>108.83317910177114</v>
      </c>
    </row>
    <row r="115" spans="2:29" x14ac:dyDescent="0.25">
      <c r="B115" s="150" t="s">
        <v>79</v>
      </c>
      <c r="E115" s="112">
        <v>100</v>
      </c>
      <c r="F115" s="26">
        <v>25478</v>
      </c>
      <c r="G115" s="39">
        <v>0.86439999999999995</v>
      </c>
      <c r="H115" s="1">
        <f t="shared" si="32"/>
        <v>86.44</v>
      </c>
      <c r="I115" s="17" t="str">
        <f t="shared" si="20"/>
        <v>Racional</v>
      </c>
      <c r="J115" s="1">
        <v>1542.5</v>
      </c>
      <c r="K115" s="15">
        <v>1440</v>
      </c>
      <c r="L115" s="15">
        <v>807</v>
      </c>
      <c r="M115" s="17">
        <f t="shared" si="21"/>
        <v>633</v>
      </c>
      <c r="N115" s="5">
        <f t="shared" si="22"/>
        <v>7.8323891563660855</v>
      </c>
      <c r="O115" s="5">
        <f t="shared" si="23"/>
        <v>7.8323891563660855</v>
      </c>
      <c r="P115" s="49">
        <f t="shared" si="24"/>
        <v>40.363570764714396</v>
      </c>
      <c r="Q115" s="49">
        <f t="shared" si="25"/>
        <v>138.33439090386105</v>
      </c>
      <c r="R115" s="49">
        <f t="shared" si="26"/>
        <v>83.618930771181823</v>
      </c>
      <c r="S115" s="49">
        <f t="shared" si="27"/>
        <v>114.00529878442109</v>
      </c>
      <c r="T115" s="50">
        <v>30</v>
      </c>
      <c r="U115" s="5">
        <v>0.4</v>
      </c>
      <c r="V115" s="5">
        <f t="shared" si="28"/>
        <v>3.8766967298910138</v>
      </c>
      <c r="W115" s="5">
        <f t="shared" si="29"/>
        <v>13.286249721921944</v>
      </c>
      <c r="X115" s="5">
        <f t="shared" si="30"/>
        <v>8.0311337509566183</v>
      </c>
      <c r="Y115" s="5">
        <f t="shared" si="31"/>
        <v>10.949575585472621</v>
      </c>
      <c r="Z115" s="78">
        <f t="shared" si="16"/>
        <v>8.0311337509566183</v>
      </c>
      <c r="AB115" t="str">
        <f t="shared" si="17"/>
        <v>0bligada</v>
      </c>
      <c r="AC115" s="97">
        <f t="shared" si="18"/>
        <v>8031.1337509566183</v>
      </c>
    </row>
    <row r="116" spans="2:29" x14ac:dyDescent="0.25">
      <c r="B116" s="150" t="s">
        <v>166</v>
      </c>
      <c r="E116" s="112">
        <v>101</v>
      </c>
      <c r="F116" s="24">
        <v>25617.8</v>
      </c>
      <c r="G116" s="39">
        <v>0.68559999999999999</v>
      </c>
      <c r="H116" s="1">
        <f t="shared" si="32"/>
        <v>68.56</v>
      </c>
      <c r="I116" s="17" t="str">
        <f t="shared" si="20"/>
        <v>Racional</v>
      </c>
      <c r="J116" s="1">
        <v>1035.5999999999999</v>
      </c>
      <c r="K116" s="15">
        <v>1250</v>
      </c>
      <c r="L116" s="15">
        <v>797</v>
      </c>
      <c r="M116" s="17">
        <f t="shared" si="21"/>
        <v>453</v>
      </c>
      <c r="N116" s="5">
        <f t="shared" si="22"/>
        <v>5.6232010554489511</v>
      </c>
      <c r="O116" s="5">
        <f t="shared" si="23"/>
        <v>5.6232010554489511</v>
      </c>
      <c r="P116" s="49">
        <f t="shared" si="24"/>
        <v>45.192161039208791</v>
      </c>
      <c r="Q116" s="49">
        <f t="shared" si="25"/>
        <v>154.88297869952794</v>
      </c>
      <c r="R116" s="49">
        <f t="shared" si="26"/>
        <v>98.370300830376706</v>
      </c>
      <c r="S116" s="49">
        <f t="shared" si="27"/>
        <v>138.79671213180231</v>
      </c>
      <c r="T116" s="50">
        <v>20</v>
      </c>
      <c r="U116" s="5">
        <v>0.4</v>
      </c>
      <c r="V116" s="5">
        <f t="shared" si="28"/>
        <v>3.442638400942394</v>
      </c>
      <c r="W116" s="5">
        <f t="shared" si="29"/>
        <v>11.79864113293293</v>
      </c>
      <c r="X116" s="5">
        <f t="shared" si="30"/>
        <v>7.493630916589586</v>
      </c>
      <c r="Y116" s="5">
        <f t="shared" si="31"/>
        <v>10.573225093062629</v>
      </c>
      <c r="Z116" s="78">
        <f t="shared" si="16"/>
        <v>7.493630916589586</v>
      </c>
      <c r="AB116" t="str">
        <f t="shared" si="17"/>
        <v>0bligada</v>
      </c>
      <c r="AC116" s="97">
        <f t="shared" si="18"/>
        <v>7493.6309165895864</v>
      </c>
    </row>
    <row r="117" spans="2:29" x14ac:dyDescent="0.25">
      <c r="B117" s="150" t="s">
        <v>79</v>
      </c>
      <c r="E117" s="112">
        <v>102</v>
      </c>
      <c r="F117" s="24">
        <v>25998.2</v>
      </c>
      <c r="G117" s="39">
        <v>0.2417</v>
      </c>
      <c r="H117" s="1">
        <f t="shared" si="32"/>
        <v>24.169999999999998</v>
      </c>
      <c r="I117" s="17" t="str">
        <f t="shared" si="20"/>
        <v>Racional</v>
      </c>
      <c r="J117" s="1">
        <v>849.9</v>
      </c>
      <c r="K117" s="15">
        <v>1120</v>
      </c>
      <c r="L117" s="15">
        <v>783</v>
      </c>
      <c r="M117" s="17">
        <f t="shared" si="21"/>
        <v>337</v>
      </c>
      <c r="N117" s="5">
        <f t="shared" si="22"/>
        <v>5.0155312685716398</v>
      </c>
      <c r="O117" s="5">
        <f t="shared" si="23"/>
        <v>5.0155312685716398</v>
      </c>
      <c r="P117" s="49">
        <f t="shared" si="24"/>
        <v>46.989350661611958</v>
      </c>
      <c r="Q117" s="49">
        <f t="shared" si="25"/>
        <v>161.04232305493909</v>
      </c>
      <c r="R117" s="49">
        <f t="shared" si="26"/>
        <v>104.04364715647574</v>
      </c>
      <c r="S117" s="49">
        <f t="shared" si="27"/>
        <v>148.54951796311886</v>
      </c>
      <c r="T117" s="50">
        <v>18</v>
      </c>
      <c r="U117" s="5">
        <v>0.4</v>
      </c>
      <c r="V117" s="5">
        <f t="shared" si="28"/>
        <v>1.2619251172124011</v>
      </c>
      <c r="W117" s="5">
        <f t="shared" si="29"/>
        <v>4.3248810535976414</v>
      </c>
      <c r="X117" s="5">
        <f t="shared" si="30"/>
        <v>2.7941499464133539</v>
      </c>
      <c r="Y117" s="5">
        <f t="shared" si="31"/>
        <v>3.9893798324095364</v>
      </c>
      <c r="Z117" s="78">
        <f t="shared" si="16"/>
        <v>2.7941499464133539</v>
      </c>
      <c r="AB117" t="str">
        <f t="shared" si="17"/>
        <v>0bligada</v>
      </c>
      <c r="AC117" s="97">
        <f t="shared" si="18"/>
        <v>2794.149946413354</v>
      </c>
    </row>
    <row r="118" spans="2:29" x14ac:dyDescent="0.25">
      <c r="B118" s="150" t="s">
        <v>79</v>
      </c>
      <c r="E118" s="112">
        <v>103</v>
      </c>
      <c r="F118" s="24">
        <v>26355</v>
      </c>
      <c r="G118" s="39">
        <v>0.2485</v>
      </c>
      <c r="H118" s="1">
        <f t="shared" si="32"/>
        <v>24.85</v>
      </c>
      <c r="I118" s="17" t="str">
        <f t="shared" si="20"/>
        <v>Racional</v>
      </c>
      <c r="J118" s="1">
        <v>864.5</v>
      </c>
      <c r="K118" s="15">
        <v>1080</v>
      </c>
      <c r="L118" s="15">
        <v>751</v>
      </c>
      <c r="M118" s="17">
        <f t="shared" si="21"/>
        <v>329</v>
      </c>
      <c r="N118" s="5">
        <f t="shared" si="22"/>
        <v>5.1627103847996754</v>
      </c>
      <c r="O118" s="5">
        <f t="shared" si="23"/>
        <v>5.1627103847996754</v>
      </c>
      <c r="P118" s="49">
        <f t="shared" si="24"/>
        <v>46.528194873360306</v>
      </c>
      <c r="Q118" s="49">
        <f t="shared" si="25"/>
        <v>159.46184581095474</v>
      </c>
      <c r="R118" s="49">
        <f t="shared" si="26"/>
        <v>102.57865427042931</v>
      </c>
      <c r="S118" s="49">
        <f t="shared" si="27"/>
        <v>146.02009666514624</v>
      </c>
      <c r="T118" s="50">
        <v>35</v>
      </c>
      <c r="U118" s="5">
        <v>0.4</v>
      </c>
      <c r="V118" s="5">
        <f t="shared" si="28"/>
        <v>1.2846951584477819</v>
      </c>
      <c r="W118" s="5">
        <f t="shared" si="29"/>
        <v>4.4029187426691392</v>
      </c>
      <c r="X118" s="5">
        <f t="shared" si="30"/>
        <v>2.8323106206890762</v>
      </c>
      <c r="Y118" s="5">
        <f t="shared" si="31"/>
        <v>4.0317771134765383</v>
      </c>
      <c r="Z118" s="78">
        <f t="shared" si="16"/>
        <v>2.8323106206890762</v>
      </c>
      <c r="AA118" t="s">
        <v>160</v>
      </c>
      <c r="AB118" t="str">
        <f t="shared" si="17"/>
        <v>0bligada</v>
      </c>
      <c r="AC118" s="97">
        <f t="shared" si="18"/>
        <v>2832.3106206890761</v>
      </c>
    </row>
    <row r="119" spans="2:29" x14ac:dyDescent="0.25">
      <c r="B119" s="150" t="s">
        <v>80</v>
      </c>
      <c r="E119" s="112">
        <v>104</v>
      </c>
      <c r="F119" s="24">
        <v>26642.3</v>
      </c>
      <c r="G119" s="39">
        <v>9.2399999999999996E-2</v>
      </c>
      <c r="H119" s="1">
        <f t="shared" si="32"/>
        <v>9.24</v>
      </c>
      <c r="I119" s="17" t="str">
        <f t="shared" si="20"/>
        <v>Racional</v>
      </c>
      <c r="J119" s="1">
        <v>500.3</v>
      </c>
      <c r="K119" s="15">
        <v>920</v>
      </c>
      <c r="L119" s="15">
        <v>738</v>
      </c>
      <c r="M119" s="17">
        <f t="shared" si="21"/>
        <v>182</v>
      </c>
      <c r="N119" s="5">
        <f t="shared" si="22"/>
        <v>3.4476117947170839</v>
      </c>
      <c r="O119" s="5">
        <f t="shared" si="23"/>
        <v>5</v>
      </c>
      <c r="P119" s="49">
        <f t="shared" si="24"/>
        <v>47.039072454260264</v>
      </c>
      <c r="Q119" s="49">
        <f t="shared" si="25"/>
        <v>161.21273002762106</v>
      </c>
      <c r="R119" s="49">
        <f t="shared" si="26"/>
        <v>104.20197999105746</v>
      </c>
      <c r="S119" s="49">
        <f t="shared" si="27"/>
        <v>148.8233439677648</v>
      </c>
      <c r="T119" s="50">
        <v>30</v>
      </c>
      <c r="U119" s="5">
        <v>0.4</v>
      </c>
      <c r="V119" s="5">
        <f t="shared" si="28"/>
        <v>0.48293447719707205</v>
      </c>
      <c r="W119" s="5">
        <f t="shared" si="29"/>
        <v>1.6551173616169097</v>
      </c>
      <c r="X119" s="5">
        <f t="shared" si="30"/>
        <v>1.0698069945748565</v>
      </c>
      <c r="Y119" s="5">
        <f t="shared" si="31"/>
        <v>1.5279196647357187</v>
      </c>
      <c r="Z119" s="78">
        <f t="shared" si="16"/>
        <v>1.0698069945748565</v>
      </c>
      <c r="AB119" t="str">
        <f t="shared" si="17"/>
        <v>control</v>
      </c>
      <c r="AC119" s="97">
        <f t="shared" si="18"/>
        <v>1069.8069945748566</v>
      </c>
    </row>
    <row r="120" spans="2:29" x14ac:dyDescent="0.25">
      <c r="B120" s="150" t="s">
        <v>79</v>
      </c>
      <c r="E120" s="112">
        <v>105</v>
      </c>
      <c r="F120" s="24">
        <v>27014</v>
      </c>
      <c r="G120" s="39">
        <v>0.2908</v>
      </c>
      <c r="H120" s="1">
        <f t="shared" si="32"/>
        <v>29.080000000000002</v>
      </c>
      <c r="I120" s="17" t="str">
        <f t="shared" si="20"/>
        <v>Racional</v>
      </c>
      <c r="J120" s="1">
        <v>906.2</v>
      </c>
      <c r="K120" s="15">
        <v>1080</v>
      </c>
      <c r="L120" s="15">
        <v>700</v>
      </c>
      <c r="M120" s="17">
        <f t="shared" si="21"/>
        <v>380</v>
      </c>
      <c r="N120" s="5">
        <f t="shared" si="22"/>
        <v>5.1571731566623855</v>
      </c>
      <c r="O120" s="5">
        <f t="shared" si="23"/>
        <v>5.1571731566623855</v>
      </c>
      <c r="P120" s="49">
        <f t="shared" si="24"/>
        <v>46.545224208976812</v>
      </c>
      <c r="Q120" s="49">
        <f t="shared" si="25"/>
        <v>159.52020890236059</v>
      </c>
      <c r="R120" s="49">
        <f t="shared" si="26"/>
        <v>102.63264022757234</v>
      </c>
      <c r="S120" s="49">
        <f t="shared" si="27"/>
        <v>146.11317291148436</v>
      </c>
      <c r="T120" s="50">
        <v>24</v>
      </c>
      <c r="U120" s="5">
        <v>0.4</v>
      </c>
      <c r="V120" s="5">
        <f t="shared" si="28"/>
        <v>1.5039279111078288</v>
      </c>
      <c r="W120" s="5">
        <f t="shared" si="29"/>
        <v>5.1542751943118299</v>
      </c>
      <c r="X120" s="5">
        <f t="shared" si="30"/>
        <v>3.316174642019782</v>
      </c>
      <c r="Y120" s="5">
        <f t="shared" si="31"/>
        <v>4.7210789647399611</v>
      </c>
      <c r="Z120" s="78">
        <f t="shared" ref="Z120:Z126" si="33">X120</f>
        <v>3.316174642019782</v>
      </c>
      <c r="AB120" t="str">
        <f t="shared" si="17"/>
        <v>0bligada</v>
      </c>
      <c r="AC120" s="97">
        <f t="shared" si="18"/>
        <v>3316.1746420197819</v>
      </c>
    </row>
    <row r="121" spans="2:29" x14ac:dyDescent="0.25">
      <c r="B121" s="150" t="s">
        <v>79</v>
      </c>
      <c r="E121" s="112">
        <v>106</v>
      </c>
      <c r="F121" s="24">
        <v>27141.200000000001</v>
      </c>
      <c r="G121" s="39">
        <v>0.19020000000000001</v>
      </c>
      <c r="H121" s="1">
        <f t="shared" si="32"/>
        <v>19.02</v>
      </c>
      <c r="I121" s="17" t="str">
        <f t="shared" si="20"/>
        <v>Racional</v>
      </c>
      <c r="J121" s="1">
        <v>841.7</v>
      </c>
      <c r="K121" s="15">
        <v>1000</v>
      </c>
      <c r="L121" s="15">
        <v>697</v>
      </c>
      <c r="M121" s="17">
        <f t="shared" si="21"/>
        <v>303</v>
      </c>
      <c r="N121" s="5">
        <f t="shared" si="22"/>
        <v>5.1669696702777754</v>
      </c>
      <c r="O121" s="5">
        <f t="shared" si="23"/>
        <v>5.1669696702777754</v>
      </c>
      <c r="P121" s="49">
        <f t="shared" si="24"/>
        <v>46.515112413242882</v>
      </c>
      <c r="Q121" s="49">
        <f t="shared" si="25"/>
        <v>159.41700948657657</v>
      </c>
      <c r="R121" s="49">
        <f t="shared" si="26"/>
        <v>102.53718647066073</v>
      </c>
      <c r="S121" s="49">
        <f t="shared" si="27"/>
        <v>145.94860977668907</v>
      </c>
      <c r="T121" s="50">
        <v>29</v>
      </c>
      <c r="U121" s="5">
        <v>0.4</v>
      </c>
      <c r="V121" s="5">
        <f t="shared" si="28"/>
        <v>0.98301937566653297</v>
      </c>
      <c r="W121" s="5">
        <f t="shared" si="29"/>
        <v>3.3690128004829849</v>
      </c>
      <c r="X121" s="5">
        <f t="shared" si="30"/>
        <v>2.1669525407466299</v>
      </c>
      <c r="Y121" s="5">
        <f t="shared" si="31"/>
        <v>3.0843806199473627</v>
      </c>
      <c r="Z121" s="78">
        <f t="shared" si="33"/>
        <v>2.1669525407466299</v>
      </c>
      <c r="AB121" t="str">
        <f t="shared" si="17"/>
        <v>control</v>
      </c>
      <c r="AC121" s="97">
        <f t="shared" si="18"/>
        <v>2166.9525407466299</v>
      </c>
    </row>
    <row r="122" spans="2:29" x14ac:dyDescent="0.25">
      <c r="B122" s="150" t="s">
        <v>79</v>
      </c>
      <c r="E122" s="112">
        <v>107</v>
      </c>
      <c r="F122" s="24">
        <v>27448.7</v>
      </c>
      <c r="G122" s="39">
        <v>0.14480000000000001</v>
      </c>
      <c r="H122" s="1">
        <f t="shared" si="32"/>
        <v>14.48</v>
      </c>
      <c r="I122" s="17" t="str">
        <f t="shared" si="20"/>
        <v>Racional</v>
      </c>
      <c r="J122" s="1">
        <v>670.6</v>
      </c>
      <c r="K122" s="15">
        <v>920</v>
      </c>
      <c r="L122" s="15">
        <v>677</v>
      </c>
      <c r="M122" s="17">
        <f t="shared" si="21"/>
        <v>243</v>
      </c>
      <c r="N122" s="5">
        <f t="shared" si="22"/>
        <v>4.3265486870010434</v>
      </c>
      <c r="O122" s="5">
        <f t="shared" si="23"/>
        <v>5</v>
      </c>
      <c r="P122" s="49">
        <f t="shared" si="24"/>
        <v>47.039072454260264</v>
      </c>
      <c r="Q122" s="49">
        <f t="shared" si="25"/>
        <v>161.21273002762106</v>
      </c>
      <c r="R122" s="49">
        <f t="shared" si="26"/>
        <v>104.20197999105746</v>
      </c>
      <c r="S122" s="49">
        <f t="shared" si="27"/>
        <v>148.8233439677648</v>
      </c>
      <c r="T122" s="50">
        <v>25</v>
      </c>
      <c r="U122" s="5">
        <v>0.4</v>
      </c>
      <c r="V122" s="5">
        <f t="shared" si="28"/>
        <v>0.75680641015298733</v>
      </c>
      <c r="W122" s="5">
        <f t="shared" si="29"/>
        <v>2.5937337008888366</v>
      </c>
      <c r="X122" s="5">
        <f t="shared" si="30"/>
        <v>1.6764940780783466</v>
      </c>
      <c r="Y122" s="5">
        <f t="shared" si="31"/>
        <v>2.3944022451702605</v>
      </c>
      <c r="Z122" s="78">
        <f t="shared" si="33"/>
        <v>1.6764940780783466</v>
      </c>
      <c r="AB122" t="str">
        <f t="shared" si="17"/>
        <v>control</v>
      </c>
      <c r="AC122" s="97">
        <f t="shared" si="18"/>
        <v>1676.4940780783465</v>
      </c>
    </row>
    <row r="123" spans="2:29" x14ac:dyDescent="0.25">
      <c r="B123" s="150" t="s">
        <v>162</v>
      </c>
      <c r="E123" s="112">
        <v>108</v>
      </c>
      <c r="F123" s="24">
        <v>27505.5</v>
      </c>
      <c r="G123" s="39">
        <v>8.8700000000000001E-2</v>
      </c>
      <c r="H123" s="1">
        <f t="shared" si="32"/>
        <v>8.870000000000001</v>
      </c>
      <c r="I123" s="17" t="str">
        <f t="shared" si="20"/>
        <v>Racional</v>
      </c>
      <c r="J123" s="1">
        <v>512.4</v>
      </c>
      <c r="K123" s="15">
        <v>840</v>
      </c>
      <c r="L123" s="15">
        <v>677</v>
      </c>
      <c r="M123" s="17">
        <f t="shared" si="21"/>
        <v>163</v>
      </c>
      <c r="N123" s="5">
        <f t="shared" si="22"/>
        <v>3.6977787171475001</v>
      </c>
      <c r="O123" s="5">
        <f t="shared" si="23"/>
        <v>5</v>
      </c>
      <c r="P123" s="49">
        <f t="shared" si="24"/>
        <v>47.039072454260264</v>
      </c>
      <c r="Q123" s="49">
        <f t="shared" si="25"/>
        <v>161.21273002762106</v>
      </c>
      <c r="R123" s="49">
        <f t="shared" si="26"/>
        <v>104.20197999105746</v>
      </c>
      <c r="S123" s="49">
        <f t="shared" si="27"/>
        <v>148.8233439677648</v>
      </c>
      <c r="T123" s="50">
        <v>22</v>
      </c>
      <c r="U123" s="5">
        <v>0.4</v>
      </c>
      <c r="V123" s="5">
        <f t="shared" si="28"/>
        <v>0.46359619185476514</v>
      </c>
      <c r="W123" s="5">
        <f t="shared" si="29"/>
        <v>1.5888410170499987</v>
      </c>
      <c r="X123" s="5">
        <f t="shared" si="30"/>
        <v>1.0269684028007553</v>
      </c>
      <c r="Y123" s="5">
        <f t="shared" si="31"/>
        <v>1.4667367344378599</v>
      </c>
      <c r="Z123" s="78">
        <f t="shared" si="33"/>
        <v>1.0269684028007553</v>
      </c>
      <c r="AB123" t="str">
        <f t="shared" si="17"/>
        <v>control</v>
      </c>
      <c r="AC123" s="97">
        <f t="shared" si="18"/>
        <v>1026.9684028007553</v>
      </c>
    </row>
    <row r="124" spans="2:29" x14ac:dyDescent="0.25">
      <c r="B124" s="150" t="s">
        <v>80</v>
      </c>
      <c r="E124" s="112">
        <v>109</v>
      </c>
      <c r="F124" s="24">
        <v>27640</v>
      </c>
      <c r="G124" s="39">
        <v>7.9000000000000001E-2</v>
      </c>
      <c r="H124" s="1">
        <f t="shared" si="32"/>
        <v>7.9</v>
      </c>
      <c r="I124" s="17" t="str">
        <f t="shared" si="20"/>
        <v>Racional</v>
      </c>
      <c r="J124" s="1">
        <v>500.1</v>
      </c>
      <c r="K124" s="15">
        <v>810</v>
      </c>
      <c r="L124" s="15">
        <v>666</v>
      </c>
      <c r="M124" s="17">
        <f t="shared" si="21"/>
        <v>144</v>
      </c>
      <c r="N124" s="5">
        <f t="shared" si="22"/>
        <v>3.7711666010120877</v>
      </c>
      <c r="O124" s="5">
        <f t="shared" si="23"/>
        <v>5</v>
      </c>
      <c r="P124" s="49">
        <f t="shared" si="24"/>
        <v>47.039072454260264</v>
      </c>
      <c r="Q124" s="49">
        <f t="shared" si="25"/>
        <v>161.21273002762106</v>
      </c>
      <c r="R124" s="49">
        <f t="shared" si="26"/>
        <v>104.20197999105746</v>
      </c>
      <c r="S124" s="49">
        <f t="shared" si="27"/>
        <v>148.8233439677648</v>
      </c>
      <c r="T124" s="50">
        <v>20</v>
      </c>
      <c r="U124" s="5">
        <v>0.4</v>
      </c>
      <c r="V124" s="5">
        <f t="shared" si="28"/>
        <v>0.41289852487628453</v>
      </c>
      <c r="W124" s="5">
        <f t="shared" si="29"/>
        <v>1.4150895191313404</v>
      </c>
      <c r="X124" s="5">
        <f t="shared" si="30"/>
        <v>0.91466182436594878</v>
      </c>
      <c r="Y124" s="5">
        <f t="shared" si="31"/>
        <v>1.3063382414948244</v>
      </c>
      <c r="Z124" s="78">
        <f t="shared" si="33"/>
        <v>0.91466182436594878</v>
      </c>
      <c r="AB124" t="str">
        <f t="shared" si="17"/>
        <v>control</v>
      </c>
      <c r="AC124" s="97">
        <f t="shared" si="18"/>
        <v>914.66182436594875</v>
      </c>
    </row>
    <row r="125" spans="2:29" x14ac:dyDescent="0.25">
      <c r="B125" s="150" t="s">
        <v>78</v>
      </c>
      <c r="E125" s="112">
        <v>110</v>
      </c>
      <c r="F125" s="24">
        <v>27878</v>
      </c>
      <c r="G125" s="39">
        <v>8.1699999999999995E-2</v>
      </c>
      <c r="H125" s="1">
        <f t="shared" si="32"/>
        <v>8.17</v>
      </c>
      <c r="I125" s="17" t="str">
        <f t="shared" si="20"/>
        <v>Racional</v>
      </c>
      <c r="J125" s="1">
        <v>107.2</v>
      </c>
      <c r="K125" s="15">
        <v>720</v>
      </c>
      <c r="L125" s="15">
        <v>653</v>
      </c>
      <c r="M125" s="17">
        <f t="shared" si="21"/>
        <v>67</v>
      </c>
      <c r="N125" s="5">
        <f t="shared" si="22"/>
        <v>0.85481235266264965</v>
      </c>
      <c r="O125" s="5">
        <f t="shared" si="23"/>
        <v>5</v>
      </c>
      <c r="P125" s="49">
        <f t="shared" si="24"/>
        <v>47.039072454260264</v>
      </c>
      <c r="Q125" s="49">
        <f t="shared" si="25"/>
        <v>161.21273002762106</v>
      </c>
      <c r="R125" s="49">
        <f t="shared" si="26"/>
        <v>104.20197999105746</v>
      </c>
      <c r="S125" s="49">
        <f t="shared" si="27"/>
        <v>148.8233439677648</v>
      </c>
      <c r="T125" s="50">
        <v>18</v>
      </c>
      <c r="U125" s="5">
        <v>0.4</v>
      </c>
      <c r="V125" s="5">
        <f t="shared" si="28"/>
        <v>0.42701024661256259</v>
      </c>
      <c r="W125" s="5">
        <f t="shared" si="29"/>
        <v>1.4634533381396266</v>
      </c>
      <c r="X125" s="5">
        <f t="shared" si="30"/>
        <v>0.94592241836326596</v>
      </c>
      <c r="Y125" s="5">
        <f t="shared" si="31"/>
        <v>1.3509852446851538</v>
      </c>
      <c r="Z125" s="78">
        <f t="shared" si="33"/>
        <v>0.94592241836326596</v>
      </c>
      <c r="AA125" t="s">
        <v>161</v>
      </c>
      <c r="AB125" t="str">
        <f t="shared" si="17"/>
        <v>control</v>
      </c>
      <c r="AC125" s="97">
        <f t="shared" si="18"/>
        <v>945.92241836326593</v>
      </c>
    </row>
    <row r="126" spans="2:29" x14ac:dyDescent="0.25">
      <c r="B126" s="150" t="s">
        <v>80</v>
      </c>
      <c r="E126" s="112">
        <v>111</v>
      </c>
      <c r="F126" s="24">
        <v>28026.5</v>
      </c>
      <c r="G126" s="39">
        <v>4.7899999999999998E-2</v>
      </c>
      <c r="H126" s="1">
        <f t="shared" si="32"/>
        <v>4.79</v>
      </c>
      <c r="I126" s="17" t="str">
        <f t="shared" si="20"/>
        <v>Racional</v>
      </c>
      <c r="J126" s="1">
        <v>207.8</v>
      </c>
      <c r="K126" s="15">
        <v>680</v>
      </c>
      <c r="L126" s="15">
        <v>666</v>
      </c>
      <c r="M126" s="17">
        <f t="shared" si="21"/>
        <v>14</v>
      </c>
      <c r="N126" s="5">
        <f t="shared" si="22"/>
        <v>3.3547172361450195</v>
      </c>
      <c r="O126" s="5">
        <f t="shared" si="23"/>
        <v>5</v>
      </c>
      <c r="P126" s="49">
        <f t="shared" si="24"/>
        <v>47.039072454260264</v>
      </c>
      <c r="Q126" s="49">
        <f t="shared" si="25"/>
        <v>161.21273002762106</v>
      </c>
      <c r="R126" s="49">
        <f t="shared" si="26"/>
        <v>104.20197999105746</v>
      </c>
      <c r="S126" s="49">
        <f t="shared" si="27"/>
        <v>148.8233439677648</v>
      </c>
      <c r="T126" s="50">
        <v>21</v>
      </c>
      <c r="U126" s="5">
        <v>0.4</v>
      </c>
      <c r="V126" s="5">
        <f t="shared" si="28"/>
        <v>0.25035239672878518</v>
      </c>
      <c r="W126" s="5">
        <f t="shared" si="29"/>
        <v>0.85800997425811654</v>
      </c>
      <c r="X126" s="5">
        <f t="shared" si="30"/>
        <v>0.5545860935079614</v>
      </c>
      <c r="Y126" s="5">
        <f t="shared" si="31"/>
        <v>0.79207090845065931</v>
      </c>
      <c r="Z126" s="78">
        <f t="shared" si="33"/>
        <v>0.5545860935079614</v>
      </c>
      <c r="AA126" t="s">
        <v>160</v>
      </c>
      <c r="AB126" t="str">
        <f t="shared" si="17"/>
        <v>control</v>
      </c>
      <c r="AC126" s="97">
        <f t="shared" si="18"/>
        <v>554.58609350796144</v>
      </c>
    </row>
  </sheetData>
  <mergeCells count="41">
    <mergeCell ref="T2:U2"/>
    <mergeCell ref="P14:S14"/>
    <mergeCell ref="K14:M14"/>
    <mergeCell ref="N14:O14"/>
    <mergeCell ref="M3:N3"/>
    <mergeCell ref="K8:K9"/>
    <mergeCell ref="L8:L9"/>
    <mergeCell ref="M8:N8"/>
    <mergeCell ref="O8:Q8"/>
    <mergeCell ref="M9:N9"/>
    <mergeCell ref="O9:Q9"/>
    <mergeCell ref="C8:C9"/>
    <mergeCell ref="D8:E8"/>
    <mergeCell ref="F8:H8"/>
    <mergeCell ref="D9:E9"/>
    <mergeCell ref="F9:H9"/>
    <mergeCell ref="C4:C5"/>
    <mergeCell ref="D4:E4"/>
    <mergeCell ref="F4:H4"/>
    <mergeCell ref="D5:E5"/>
    <mergeCell ref="F5:H5"/>
    <mergeCell ref="D3:E3"/>
    <mergeCell ref="F3:H3"/>
    <mergeCell ref="D7:E7"/>
    <mergeCell ref="F7:H7"/>
    <mergeCell ref="O3:Q3"/>
    <mergeCell ref="K4:K5"/>
    <mergeCell ref="L4:L5"/>
    <mergeCell ref="M4:N4"/>
    <mergeCell ref="O4:Q4"/>
    <mergeCell ref="M5:N5"/>
    <mergeCell ref="O5:Q5"/>
    <mergeCell ref="M7:N7"/>
    <mergeCell ref="O7:Q7"/>
    <mergeCell ref="B14:B15"/>
    <mergeCell ref="V14:Y14"/>
    <mergeCell ref="I14:I15"/>
    <mergeCell ref="J13:Y13"/>
    <mergeCell ref="E14:E15"/>
    <mergeCell ref="F14:F15"/>
    <mergeCell ref="G14:H14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52"/>
  <sheetViews>
    <sheetView topLeftCell="A5" zoomScale="70" zoomScaleNormal="70" workbookViewId="0">
      <selection activeCell="AF19" sqref="AF19"/>
    </sheetView>
  </sheetViews>
  <sheetFormatPr baseColWidth="10" defaultRowHeight="15" x14ac:dyDescent="0.25"/>
  <cols>
    <col min="2" max="2" width="12.140625" customWidth="1"/>
    <col min="4" max="4" width="13.5703125" customWidth="1"/>
    <col min="7" max="7" width="12" customWidth="1"/>
    <col min="11" max="11" width="11.42578125" customWidth="1"/>
    <col min="12" max="12" width="11.7109375" bestFit="1" customWidth="1"/>
    <col min="13" max="13" width="15.7109375" customWidth="1"/>
    <col min="14" max="14" width="14.85546875" bestFit="1" customWidth="1"/>
    <col min="15" max="15" width="16.5703125" bestFit="1" customWidth="1"/>
    <col min="16" max="16" width="12" style="70" customWidth="1"/>
    <col min="23" max="23" width="11.7109375" bestFit="1" customWidth="1"/>
    <col min="25" max="25" width="15.28515625" style="2" customWidth="1"/>
    <col min="26" max="26" width="16.5703125" customWidth="1"/>
    <col min="27" max="27" width="20.85546875" customWidth="1"/>
  </cols>
  <sheetData>
    <row r="1" spans="2:31" x14ac:dyDescent="0.25">
      <c r="M1" s="74">
        <f>MAX(D47:D252)</f>
        <v>574</v>
      </c>
      <c r="N1" s="75" t="s">
        <v>154</v>
      </c>
      <c r="P1"/>
    </row>
    <row r="2" spans="2:31" x14ac:dyDescent="0.25">
      <c r="B2" s="4" t="s">
        <v>105</v>
      </c>
      <c r="D2" s="222" t="s">
        <v>153</v>
      </c>
      <c r="E2" s="223"/>
      <c r="M2" s="74">
        <f>MIN(E47:E252)</f>
        <v>0.5</v>
      </c>
      <c r="N2" s="76" t="s">
        <v>155</v>
      </c>
      <c r="P2"/>
    </row>
    <row r="4" spans="2:31" ht="15.75" thickBot="1" x14ac:dyDescent="0.3">
      <c r="B4" s="61" t="s">
        <v>107</v>
      </c>
      <c r="G4" s="61" t="s">
        <v>108</v>
      </c>
    </row>
    <row r="5" spans="2:31" x14ac:dyDescent="0.25">
      <c r="Y5" s="233" t="s">
        <v>391</v>
      </c>
      <c r="Z5" s="238" t="s">
        <v>392</v>
      </c>
      <c r="AA5" s="238" t="s">
        <v>393</v>
      </c>
      <c r="AB5" s="236" t="s">
        <v>394</v>
      </c>
      <c r="AC5" s="236"/>
      <c r="AD5" s="236"/>
      <c r="AE5" s="237"/>
    </row>
    <row r="6" spans="2:31" x14ac:dyDescent="0.25">
      <c r="B6" s="229" t="s">
        <v>109</v>
      </c>
      <c r="C6" s="51" t="s">
        <v>110</v>
      </c>
      <c r="D6" s="115">
        <f>B150</f>
        <v>14150</v>
      </c>
      <c r="G6" s="229" t="s">
        <v>109</v>
      </c>
      <c r="H6" s="51" t="s">
        <v>110</v>
      </c>
      <c r="I6" s="115">
        <f>B101</f>
        <v>8120</v>
      </c>
      <c r="M6" s="227" t="s">
        <v>172</v>
      </c>
      <c r="N6" s="227"/>
      <c r="Y6" s="234"/>
      <c r="Z6" s="239"/>
      <c r="AA6" s="239"/>
      <c r="AB6" s="205" t="s">
        <v>395</v>
      </c>
      <c r="AC6" s="205" t="s">
        <v>396</v>
      </c>
      <c r="AD6" s="205" t="s">
        <v>55</v>
      </c>
      <c r="AE6" s="206" t="s">
        <v>397</v>
      </c>
    </row>
    <row r="7" spans="2:31" ht="15.75" thickBot="1" x14ac:dyDescent="0.3">
      <c r="B7" s="229"/>
      <c r="C7" s="51" t="s">
        <v>111</v>
      </c>
      <c r="D7" s="115">
        <f>C150</f>
        <v>14724</v>
      </c>
      <c r="G7" s="229"/>
      <c r="H7" s="51" t="s">
        <v>111</v>
      </c>
      <c r="I7" s="115">
        <f>C101</f>
        <v>8210</v>
      </c>
      <c r="M7" s="106" t="s">
        <v>171</v>
      </c>
      <c r="N7" s="73">
        <f>8.2/2</f>
        <v>4.0999999999999996</v>
      </c>
      <c r="Y7" s="207" t="s">
        <v>398</v>
      </c>
      <c r="Z7" s="199" t="s">
        <v>400</v>
      </c>
      <c r="AA7" s="199" t="s">
        <v>401</v>
      </c>
      <c r="AB7" s="199">
        <v>77</v>
      </c>
      <c r="AC7" s="199">
        <v>86</v>
      </c>
      <c r="AD7" s="199">
        <v>91</v>
      </c>
      <c r="AE7" s="200">
        <v>94</v>
      </c>
    </row>
    <row r="8" spans="2:31" x14ac:dyDescent="0.25">
      <c r="B8" s="229"/>
      <c r="C8" s="51" t="s">
        <v>117</v>
      </c>
      <c r="D8" s="71">
        <f>D7-D6</f>
        <v>574</v>
      </c>
      <c r="E8" s="51" t="s">
        <v>45</v>
      </c>
      <c r="G8" s="229"/>
      <c r="H8" s="51" t="s">
        <v>117</v>
      </c>
      <c r="I8" s="71">
        <f>I7-I6</f>
        <v>90</v>
      </c>
      <c r="J8" s="51" t="s">
        <v>45</v>
      </c>
      <c r="M8" s="106" t="s">
        <v>116</v>
      </c>
      <c r="N8" s="114">
        <v>1.4E-2</v>
      </c>
      <c r="Y8" s="233" t="s">
        <v>399</v>
      </c>
      <c r="Z8" s="196" t="s">
        <v>400</v>
      </c>
      <c r="AA8" s="196" t="s">
        <v>401</v>
      </c>
      <c r="AB8" s="196">
        <v>72</v>
      </c>
      <c r="AC8" s="196">
        <v>81</v>
      </c>
      <c r="AD8" s="196">
        <v>88</v>
      </c>
      <c r="AE8" s="197">
        <v>91</v>
      </c>
    </row>
    <row r="9" spans="2:31" x14ac:dyDescent="0.25">
      <c r="B9" s="229"/>
      <c r="C9" s="51" t="s">
        <v>60</v>
      </c>
      <c r="D9" s="47">
        <v>0.18</v>
      </c>
      <c r="G9" s="229"/>
      <c r="H9" s="51" t="s">
        <v>60</v>
      </c>
      <c r="I9" s="47">
        <v>5.0000000000000001E-3</v>
      </c>
      <c r="M9" s="106" t="s">
        <v>167</v>
      </c>
      <c r="N9" s="114">
        <v>5</v>
      </c>
      <c r="Y9" s="234"/>
      <c r="Z9" s="195" t="s">
        <v>400</v>
      </c>
      <c r="AA9" s="195" t="s">
        <v>402</v>
      </c>
      <c r="AB9" s="195">
        <v>67</v>
      </c>
      <c r="AC9" s="195">
        <v>78</v>
      </c>
      <c r="AD9" s="195">
        <v>85</v>
      </c>
      <c r="AE9" s="198">
        <v>89</v>
      </c>
    </row>
    <row r="10" spans="2:31" x14ac:dyDescent="0.25">
      <c r="B10" s="229"/>
      <c r="C10" s="51" t="s">
        <v>112</v>
      </c>
      <c r="D10" s="37">
        <f>121.82*(N9^-0.4903)*N11</f>
        <v>104.20197999105746</v>
      </c>
      <c r="E10" s="51" t="s">
        <v>113</v>
      </c>
      <c r="G10" s="229"/>
      <c r="H10" s="51" t="s">
        <v>112</v>
      </c>
      <c r="I10" s="37">
        <f>177.26*(N9^-0.5938)*N10</f>
        <v>148.8233439677648</v>
      </c>
      <c r="J10" s="51" t="s">
        <v>113</v>
      </c>
      <c r="L10" s="2" t="s">
        <v>75</v>
      </c>
      <c r="M10" s="106" t="s">
        <v>168</v>
      </c>
      <c r="N10" s="5">
        <f>'Cálculos - Distintas Ecuaciones'!U6</f>
        <v>2.1832763091497411</v>
      </c>
      <c r="Y10" s="234"/>
      <c r="Z10" s="195" t="s">
        <v>403</v>
      </c>
      <c r="AA10" s="195" t="s">
        <v>401</v>
      </c>
      <c r="AB10" s="195">
        <v>70</v>
      </c>
      <c r="AC10" s="195">
        <v>79</v>
      </c>
      <c r="AD10" s="195">
        <v>81</v>
      </c>
      <c r="AE10" s="198">
        <v>88</v>
      </c>
    </row>
    <row r="11" spans="2:31" x14ac:dyDescent="0.25">
      <c r="C11" s="95" t="s">
        <v>169</v>
      </c>
      <c r="H11" s="95" t="s">
        <v>170</v>
      </c>
      <c r="L11" s="2" t="s">
        <v>76</v>
      </c>
      <c r="M11" s="106" t="s">
        <v>168</v>
      </c>
      <c r="N11" s="5">
        <f>'Cálculos - Distintas Ecuaciones'!U5</f>
        <v>1.8830522433459145</v>
      </c>
      <c r="Y11" s="234"/>
      <c r="Z11" s="195" t="s">
        <v>403</v>
      </c>
      <c r="AA11" s="195" t="s">
        <v>402</v>
      </c>
      <c r="AB11" s="195">
        <v>65</v>
      </c>
      <c r="AC11" s="195">
        <v>75</v>
      </c>
      <c r="AD11" s="195">
        <v>82</v>
      </c>
      <c r="AE11" s="198">
        <v>86</v>
      </c>
    </row>
    <row r="12" spans="2:31" ht="15" customHeight="1" x14ac:dyDescent="0.25">
      <c r="L12" s="63"/>
      <c r="Y12" s="234"/>
      <c r="Z12" s="195" t="s">
        <v>404</v>
      </c>
      <c r="AA12" s="195" t="s">
        <v>401</v>
      </c>
      <c r="AB12" s="195">
        <v>66</v>
      </c>
      <c r="AC12" s="195">
        <v>74</v>
      </c>
      <c r="AD12" s="195">
        <v>80</v>
      </c>
      <c r="AE12" s="198">
        <v>82</v>
      </c>
    </row>
    <row r="13" spans="2:31" ht="15" customHeight="1" thickBot="1" x14ac:dyDescent="0.3">
      <c r="B13" s="230" t="s">
        <v>135</v>
      </c>
      <c r="C13" s="27" t="s">
        <v>114</v>
      </c>
      <c r="D13" s="62">
        <f>D10/(3.6*(10^6))</f>
        <v>2.8944994441960404E-5</v>
      </c>
      <c r="E13" s="51" t="s">
        <v>115</v>
      </c>
      <c r="G13" s="230" t="s">
        <v>135</v>
      </c>
      <c r="H13" s="27" t="s">
        <v>114</v>
      </c>
      <c r="I13" s="62">
        <f>I10/(3.6*(10^6))</f>
        <v>4.1339817768823556E-5</v>
      </c>
      <c r="J13" s="51" t="s">
        <v>115</v>
      </c>
      <c r="L13" s="69"/>
      <c r="Y13" s="235"/>
      <c r="Z13" s="199" t="s">
        <v>404</v>
      </c>
      <c r="AA13" s="199" t="s">
        <v>402</v>
      </c>
      <c r="AB13" s="199">
        <v>62</v>
      </c>
      <c r="AC13" s="199">
        <v>71</v>
      </c>
      <c r="AD13" s="199">
        <v>78</v>
      </c>
      <c r="AE13" s="200">
        <v>81</v>
      </c>
    </row>
    <row r="14" spans="2:31" x14ac:dyDescent="0.25">
      <c r="B14" s="231"/>
      <c r="C14" s="27" t="s">
        <v>136</v>
      </c>
      <c r="D14" s="5">
        <f>(D9^0.5)/N8</f>
        <v>30.304576336566321</v>
      </c>
      <c r="G14" s="231"/>
      <c r="H14" s="27" t="s">
        <v>136</v>
      </c>
      <c r="I14" s="5">
        <f>(I9^0.5)/N8</f>
        <v>5.0507627227610534</v>
      </c>
      <c r="L14" s="63"/>
      <c r="Y14" s="233" t="s">
        <v>405</v>
      </c>
      <c r="Z14" s="196" t="s">
        <v>400</v>
      </c>
      <c r="AA14" s="196" t="s">
        <v>401</v>
      </c>
      <c r="AB14" s="196">
        <v>65</v>
      </c>
      <c r="AC14" s="196">
        <v>76</v>
      </c>
      <c r="AD14" s="196">
        <v>84</v>
      </c>
      <c r="AE14" s="197">
        <v>88</v>
      </c>
    </row>
    <row r="15" spans="2:31" x14ac:dyDescent="0.25">
      <c r="B15" s="231"/>
      <c r="C15" s="27" t="s">
        <v>137</v>
      </c>
      <c r="D15" s="5">
        <f>(N7/(D14*(D13^(2/3))))^(3/5)</f>
        <v>19.685026134207661</v>
      </c>
      <c r="E15" s="51" t="s">
        <v>132</v>
      </c>
      <c r="G15" s="231"/>
      <c r="H15" s="27" t="s">
        <v>137</v>
      </c>
      <c r="I15" s="5">
        <f>(N7/(I14*(I13^(2/3))))^(3/5)</f>
        <v>50.015971744101051</v>
      </c>
      <c r="J15" s="51" t="s">
        <v>132</v>
      </c>
      <c r="L15" s="63"/>
      <c r="N15" s="107" t="s">
        <v>28</v>
      </c>
      <c r="O15" s="107" t="s">
        <v>27</v>
      </c>
      <c r="P15" s="214" t="s">
        <v>8</v>
      </c>
      <c r="Q15" s="214"/>
      <c r="R15" s="214" t="s">
        <v>9</v>
      </c>
      <c r="S15" s="214"/>
      <c r="T15" s="214"/>
      <c r="Y15" s="234"/>
      <c r="Z15" s="195" t="s">
        <v>400</v>
      </c>
      <c r="AA15" s="195" t="s">
        <v>402</v>
      </c>
      <c r="AB15" s="195">
        <v>63</v>
      </c>
      <c r="AC15" s="195">
        <v>75</v>
      </c>
      <c r="AD15" s="195">
        <v>83</v>
      </c>
      <c r="AE15" s="198">
        <v>87</v>
      </c>
    </row>
    <row r="16" spans="2:31" x14ac:dyDescent="0.25">
      <c r="B16" s="231"/>
      <c r="C16" s="27" t="s">
        <v>138</v>
      </c>
      <c r="D16" s="48">
        <f>D14*((D13*D15)^(5/3))</f>
        <v>1.1867447721203756E-4</v>
      </c>
      <c r="E16" s="51" t="s">
        <v>133</v>
      </c>
      <c r="G16" s="231"/>
      <c r="H16" s="27" t="s">
        <v>138</v>
      </c>
      <c r="I16" s="48">
        <f>I14*((I13*I15)^(5/3))</f>
        <v>1.6949325285217634E-4</v>
      </c>
      <c r="J16" s="51" t="s">
        <v>133</v>
      </c>
      <c r="L16" s="63"/>
      <c r="N16" s="215" t="s">
        <v>34</v>
      </c>
      <c r="O16" s="212" t="s">
        <v>16</v>
      </c>
      <c r="P16" s="213" t="s">
        <v>35</v>
      </c>
      <c r="Q16" s="213"/>
      <c r="R16" s="213" t="s">
        <v>37</v>
      </c>
      <c r="S16" s="213"/>
      <c r="T16" s="213"/>
      <c r="Y16" s="234"/>
      <c r="Z16" s="195" t="s">
        <v>403</v>
      </c>
      <c r="AA16" s="195" t="s">
        <v>401</v>
      </c>
      <c r="AB16" s="195">
        <v>63</v>
      </c>
      <c r="AC16" s="195">
        <v>74</v>
      </c>
      <c r="AD16" s="195">
        <v>82</v>
      </c>
      <c r="AE16" s="198">
        <v>85</v>
      </c>
    </row>
    <row r="17" spans="2:31" x14ac:dyDescent="0.25">
      <c r="B17" s="231"/>
      <c r="C17" s="27" t="s">
        <v>139</v>
      </c>
      <c r="D17" s="5">
        <f>D16*D8</f>
        <v>6.8119149919709562E-2</v>
      </c>
      <c r="E17" s="51" t="s">
        <v>58</v>
      </c>
      <c r="G17" s="231"/>
      <c r="H17" s="27" t="s">
        <v>139</v>
      </c>
      <c r="I17" s="5">
        <f>I16*I8</f>
        <v>1.5254392756695871E-2</v>
      </c>
      <c r="J17" s="51" t="s">
        <v>58</v>
      </c>
      <c r="L17" s="63"/>
      <c r="N17" s="216"/>
      <c r="O17" s="212"/>
      <c r="P17" s="213" t="s">
        <v>36</v>
      </c>
      <c r="Q17" s="213"/>
      <c r="R17" s="213" t="s">
        <v>38</v>
      </c>
      <c r="S17" s="213"/>
      <c r="T17" s="213"/>
      <c r="Y17" s="234"/>
      <c r="Z17" s="195" t="s">
        <v>403</v>
      </c>
      <c r="AA17" s="195" t="s">
        <v>402</v>
      </c>
      <c r="AB17" s="195">
        <v>61</v>
      </c>
      <c r="AC17" s="195">
        <v>73</v>
      </c>
      <c r="AD17" s="195">
        <v>81</v>
      </c>
      <c r="AE17" s="198">
        <v>85</v>
      </c>
    </row>
    <row r="18" spans="2:31" x14ac:dyDescent="0.25">
      <c r="B18" s="232"/>
      <c r="C18" s="53" t="s">
        <v>139</v>
      </c>
      <c r="D18" s="68">
        <f>D17*1000</f>
        <v>68.119149919709557</v>
      </c>
      <c r="E18" s="52" t="s">
        <v>140</v>
      </c>
      <c r="G18" s="232"/>
      <c r="H18" s="53" t="s">
        <v>139</v>
      </c>
      <c r="I18" s="68">
        <f>I17*1000</f>
        <v>15.254392756695871</v>
      </c>
      <c r="J18" s="52" t="s">
        <v>140</v>
      </c>
      <c r="L18" s="63"/>
      <c r="P18"/>
      <c r="Y18" s="234"/>
      <c r="Z18" s="195" t="s">
        <v>404</v>
      </c>
      <c r="AA18" s="195" t="s">
        <v>401</v>
      </c>
      <c r="AB18" s="195">
        <v>61</v>
      </c>
      <c r="AC18" s="195">
        <v>72</v>
      </c>
      <c r="AD18" s="195">
        <v>79</v>
      </c>
      <c r="AE18" s="198">
        <v>82</v>
      </c>
    </row>
    <row r="19" spans="2:31" ht="15.75" thickBot="1" x14ac:dyDescent="0.3">
      <c r="L19" s="63"/>
      <c r="N19" s="107" t="s">
        <v>28</v>
      </c>
      <c r="O19" s="107" t="s">
        <v>27</v>
      </c>
      <c r="P19" s="214" t="s">
        <v>8</v>
      </c>
      <c r="Q19" s="214"/>
      <c r="R19" s="214" t="s">
        <v>9</v>
      </c>
      <c r="S19" s="214"/>
      <c r="T19" s="214"/>
      <c r="Y19" s="235"/>
      <c r="Z19" s="199" t="s">
        <v>404</v>
      </c>
      <c r="AA19" s="199" t="s">
        <v>402</v>
      </c>
      <c r="AB19" s="199">
        <v>59</v>
      </c>
      <c r="AC19" s="199">
        <v>70</v>
      </c>
      <c r="AD19" s="199">
        <v>78</v>
      </c>
      <c r="AE19" s="200">
        <v>81</v>
      </c>
    </row>
    <row r="20" spans="2:31" x14ac:dyDescent="0.25">
      <c r="L20" s="63"/>
      <c r="N20" s="215" t="s">
        <v>29</v>
      </c>
      <c r="O20" s="212" t="s">
        <v>17</v>
      </c>
      <c r="P20" s="213" t="s">
        <v>30</v>
      </c>
      <c r="Q20" s="213"/>
      <c r="R20" s="213" t="s">
        <v>32</v>
      </c>
      <c r="S20" s="213"/>
      <c r="T20" s="213"/>
      <c r="Y20" s="233" t="s">
        <v>406</v>
      </c>
      <c r="Z20" s="196" t="s">
        <v>400</v>
      </c>
      <c r="AA20" s="196" t="s">
        <v>401</v>
      </c>
      <c r="AB20" s="196">
        <v>66</v>
      </c>
      <c r="AC20" s="196">
        <v>77</v>
      </c>
      <c r="AD20" s="196">
        <v>85</v>
      </c>
      <c r="AE20" s="197">
        <v>89</v>
      </c>
    </row>
    <row r="21" spans="2:31" x14ac:dyDescent="0.25">
      <c r="B21" t="s">
        <v>173</v>
      </c>
      <c r="L21" s="63"/>
      <c r="N21" s="216"/>
      <c r="O21" s="212"/>
      <c r="P21" s="213" t="s">
        <v>31</v>
      </c>
      <c r="Q21" s="213"/>
      <c r="R21" s="213" t="s">
        <v>33</v>
      </c>
      <c r="S21" s="213"/>
      <c r="T21" s="213"/>
      <c r="Y21" s="234"/>
      <c r="Z21" s="195" t="s">
        <v>400</v>
      </c>
      <c r="AA21" s="195" t="s">
        <v>402</v>
      </c>
      <c r="AB21" s="195">
        <v>58</v>
      </c>
      <c r="AC21" s="195">
        <v>72</v>
      </c>
      <c r="AD21" s="195">
        <v>81</v>
      </c>
      <c r="AE21" s="198">
        <v>85</v>
      </c>
    </row>
    <row r="22" spans="2:31" x14ac:dyDescent="0.25">
      <c r="L22" s="63"/>
      <c r="P22"/>
      <c r="Y22" s="234"/>
      <c r="Z22" s="195" t="s">
        <v>403</v>
      </c>
      <c r="AA22" s="195" t="s">
        <v>401</v>
      </c>
      <c r="AB22" s="195">
        <v>64</v>
      </c>
      <c r="AC22" s="195">
        <v>75</v>
      </c>
      <c r="AD22" s="195">
        <v>83</v>
      </c>
      <c r="AE22" s="198">
        <v>85</v>
      </c>
    </row>
    <row r="23" spans="2:31" x14ac:dyDescent="0.25">
      <c r="C23" s="51" t="s">
        <v>141</v>
      </c>
      <c r="D23" s="51">
        <v>0.1</v>
      </c>
      <c r="E23" s="51" t="s">
        <v>45</v>
      </c>
      <c r="G23" s="63" t="s">
        <v>142</v>
      </c>
      <c r="H23" s="228" t="s">
        <v>143</v>
      </c>
      <c r="I23" s="228"/>
      <c r="J23" s="228"/>
      <c r="L23" s="63"/>
      <c r="P23"/>
      <c r="Y23" s="234"/>
      <c r="Z23" s="195" t="s">
        <v>403</v>
      </c>
      <c r="AA23" s="195" t="s">
        <v>402</v>
      </c>
      <c r="AB23" s="195">
        <v>55</v>
      </c>
      <c r="AC23" s="195">
        <v>69</v>
      </c>
      <c r="AD23" s="195">
        <v>78</v>
      </c>
      <c r="AE23" s="198">
        <v>83</v>
      </c>
    </row>
    <row r="24" spans="2:31" x14ac:dyDescent="0.25">
      <c r="C24" s="51" t="s">
        <v>144</v>
      </c>
      <c r="D24" s="51">
        <v>0.4</v>
      </c>
      <c r="E24" s="51" t="s">
        <v>45</v>
      </c>
      <c r="L24" s="63"/>
      <c r="M24" s="106" t="s">
        <v>175</v>
      </c>
      <c r="N24" s="106">
        <v>0.6</v>
      </c>
      <c r="O24" s="106" t="s">
        <v>45</v>
      </c>
      <c r="P24"/>
      <c r="Y24" s="234"/>
      <c r="Z24" s="195" t="s">
        <v>404</v>
      </c>
      <c r="AA24" s="195" t="s">
        <v>401</v>
      </c>
      <c r="AB24" s="195">
        <v>63</v>
      </c>
      <c r="AC24" s="195">
        <v>73</v>
      </c>
      <c r="AD24" s="195">
        <v>80</v>
      </c>
      <c r="AE24" s="198">
        <v>83</v>
      </c>
    </row>
    <row r="25" spans="2:31" ht="15.75" thickBot="1" x14ac:dyDescent="0.3">
      <c r="C25" s="51" t="s">
        <v>145</v>
      </c>
      <c r="D25" s="51">
        <v>0.1</v>
      </c>
      <c r="E25" s="51" t="s">
        <v>45</v>
      </c>
      <c r="H25" t="s">
        <v>146</v>
      </c>
      <c r="L25" s="63"/>
      <c r="M25" s="106" t="s">
        <v>145</v>
      </c>
      <c r="N25" s="106">
        <v>0.1</v>
      </c>
      <c r="O25" s="106" t="s">
        <v>45</v>
      </c>
      <c r="P25"/>
      <c r="Q25" s="109"/>
      <c r="R25" s="228" t="s">
        <v>174</v>
      </c>
      <c r="S25" s="228"/>
      <c r="T25" s="228"/>
      <c r="Y25" s="235"/>
      <c r="Z25" s="199" t="s">
        <v>404</v>
      </c>
      <c r="AA25" s="199" t="s">
        <v>402</v>
      </c>
      <c r="AB25" s="199">
        <v>51</v>
      </c>
      <c r="AC25" s="199">
        <v>67</v>
      </c>
      <c r="AD25" s="199">
        <v>76</v>
      </c>
      <c r="AE25" s="200">
        <v>80</v>
      </c>
    </row>
    <row r="26" spans="2:31" x14ac:dyDescent="0.25">
      <c r="C26" s="51" t="s">
        <v>139</v>
      </c>
      <c r="D26" s="5">
        <f>ROUND(D18,0)</f>
        <v>68</v>
      </c>
      <c r="E26" s="51" t="s">
        <v>58</v>
      </c>
      <c r="L26" s="63"/>
      <c r="M26" s="106" t="s">
        <v>139</v>
      </c>
      <c r="N26" s="5">
        <f>ROUND(D18,0)</f>
        <v>68</v>
      </c>
      <c r="O26" s="106" t="s">
        <v>58</v>
      </c>
      <c r="P26"/>
      <c r="Y26" s="233" t="s">
        <v>407</v>
      </c>
      <c r="Z26" s="196" t="s">
        <v>400</v>
      </c>
      <c r="AA26" s="196" t="s">
        <v>401</v>
      </c>
      <c r="AB26" s="196">
        <v>68</v>
      </c>
      <c r="AC26" s="196">
        <v>79</v>
      </c>
      <c r="AD26" s="196">
        <v>86</v>
      </c>
      <c r="AE26" s="197">
        <v>89</v>
      </c>
    </row>
    <row r="27" spans="2:31" x14ac:dyDescent="0.25">
      <c r="L27" s="63"/>
      <c r="P27"/>
      <c r="R27" t="s">
        <v>146</v>
      </c>
      <c r="Y27" s="234"/>
      <c r="Z27" s="195" t="s">
        <v>400</v>
      </c>
      <c r="AA27" s="195" t="s">
        <v>408</v>
      </c>
      <c r="AB27" s="195">
        <v>49</v>
      </c>
      <c r="AC27" s="195">
        <v>69</v>
      </c>
      <c r="AD27" s="195">
        <v>79</v>
      </c>
      <c r="AE27" s="198">
        <v>84</v>
      </c>
    </row>
    <row r="28" spans="2:31" x14ac:dyDescent="0.25">
      <c r="C28" s="27" t="s">
        <v>147</v>
      </c>
      <c r="D28" s="5">
        <f>((1/2)*(D23*D25))+((1/2)*(D24*D25))</f>
        <v>2.5000000000000005E-2</v>
      </c>
      <c r="E28" s="27" t="s">
        <v>148</v>
      </c>
      <c r="L28" s="63"/>
      <c r="M28" s="27" t="s">
        <v>147</v>
      </c>
      <c r="N28" s="5">
        <f>(1/2)*(N24*N25)</f>
        <v>0.03</v>
      </c>
      <c r="O28" s="27" t="s">
        <v>148</v>
      </c>
      <c r="P28"/>
      <c r="Y28" s="234"/>
      <c r="Z28" s="195" t="s">
        <v>403</v>
      </c>
      <c r="AA28" s="195" t="s">
        <v>402</v>
      </c>
      <c r="AB28" s="195">
        <v>39</v>
      </c>
      <c r="AC28" s="195">
        <v>61</v>
      </c>
      <c r="AD28" s="195">
        <v>74</v>
      </c>
      <c r="AE28" s="198">
        <v>80</v>
      </c>
    </row>
    <row r="29" spans="2:31" x14ac:dyDescent="0.25">
      <c r="C29" s="27" t="s">
        <v>149</v>
      </c>
      <c r="D29" s="5">
        <f>(SQRT((D23^2)+(D25^2)))+(SQRT((D24^2)+(D25^2)))</f>
        <v>0.55373191879907568</v>
      </c>
      <c r="E29" s="27" t="s">
        <v>150</v>
      </c>
      <c r="L29" s="63"/>
      <c r="M29" s="27" t="s">
        <v>149</v>
      </c>
      <c r="N29" s="5">
        <f>N25+(SQRT((N24^2)+(N25^2)))</f>
        <v>0.70827625302982189</v>
      </c>
      <c r="O29" s="27" t="s">
        <v>150</v>
      </c>
      <c r="P29"/>
      <c r="Y29" s="234"/>
      <c r="Z29" s="195" t="s">
        <v>403</v>
      </c>
      <c r="AA29" s="195" t="s">
        <v>401</v>
      </c>
      <c r="AB29" s="195">
        <v>47</v>
      </c>
      <c r="AC29" s="195">
        <v>67</v>
      </c>
      <c r="AD29" s="195">
        <v>81</v>
      </c>
      <c r="AE29" s="198">
        <v>88</v>
      </c>
    </row>
    <row r="30" spans="2:31" x14ac:dyDescent="0.25">
      <c r="C30" s="27" t="s">
        <v>151</v>
      </c>
      <c r="D30" s="5">
        <f>(1/N8)*D28*((D28/D29)^(2/3))*(D9^0.5)</f>
        <v>9.6059840044363354E-2</v>
      </c>
      <c r="E30" s="51" t="s">
        <v>58</v>
      </c>
      <c r="L30" s="63"/>
      <c r="M30" s="27" t="s">
        <v>151</v>
      </c>
      <c r="N30" s="5">
        <f>(1/N8)*N28*((N28/N29)^(2/3))*(D9^0.5)</f>
        <v>0.11046936408680164</v>
      </c>
      <c r="O30" s="106" t="s">
        <v>58</v>
      </c>
      <c r="P30"/>
      <c r="Y30" s="234"/>
      <c r="Z30" s="195" t="s">
        <v>404</v>
      </c>
      <c r="AA30" s="195" t="s">
        <v>408</v>
      </c>
      <c r="AB30" s="195">
        <v>25</v>
      </c>
      <c r="AC30" s="195">
        <v>59</v>
      </c>
      <c r="AD30" s="195">
        <v>75</v>
      </c>
      <c r="AE30" s="198">
        <v>83</v>
      </c>
    </row>
    <row r="31" spans="2:31" ht="15.75" thickBot="1" x14ac:dyDescent="0.3">
      <c r="C31" s="53" t="s">
        <v>151</v>
      </c>
      <c r="D31" s="68">
        <f>D30*1000</f>
        <v>96.059840044363355</v>
      </c>
      <c r="E31" s="52" t="s">
        <v>140</v>
      </c>
      <c r="L31" s="63"/>
      <c r="M31" s="108" t="s">
        <v>151</v>
      </c>
      <c r="N31" s="68">
        <f>N30*1000</f>
        <v>110.46936408680163</v>
      </c>
      <c r="O31" s="107" t="s">
        <v>140</v>
      </c>
      <c r="P31"/>
      <c r="Y31" s="235"/>
      <c r="Z31" s="199" t="s">
        <v>404</v>
      </c>
      <c r="AA31" s="199" t="s">
        <v>402</v>
      </c>
      <c r="AB31" s="199">
        <v>6</v>
      </c>
      <c r="AC31" s="199">
        <v>35</v>
      </c>
      <c r="AD31" s="199">
        <v>70</v>
      </c>
      <c r="AE31" s="200">
        <v>79</v>
      </c>
    </row>
    <row r="32" spans="2:31" ht="15.75" thickBot="1" x14ac:dyDescent="0.3">
      <c r="C32" s="27" t="s">
        <v>152</v>
      </c>
      <c r="D32" s="5">
        <f>D30/D28</f>
        <v>3.8423936017745333</v>
      </c>
      <c r="E32" s="27" t="s">
        <v>115</v>
      </c>
      <c r="L32" s="63"/>
      <c r="M32" s="27" t="s">
        <v>152</v>
      </c>
      <c r="N32" s="5">
        <f>N30/N28</f>
        <v>3.6823121362267215</v>
      </c>
      <c r="O32" s="27" t="s">
        <v>115</v>
      </c>
      <c r="P32"/>
      <c r="Y32" s="208" t="s">
        <v>409</v>
      </c>
      <c r="Z32" s="201"/>
      <c r="AA32" s="201" t="s">
        <v>402</v>
      </c>
      <c r="AB32" s="201">
        <v>30</v>
      </c>
      <c r="AC32" s="201">
        <v>58</v>
      </c>
      <c r="AD32" s="201">
        <v>71</v>
      </c>
      <c r="AE32" s="202">
        <v>78</v>
      </c>
    </row>
    <row r="33" spans="1:31" x14ac:dyDescent="0.25">
      <c r="L33" s="63"/>
      <c r="P33"/>
      <c r="Y33" s="233" t="s">
        <v>410</v>
      </c>
      <c r="Z33" s="196"/>
      <c r="AA33" s="196" t="s">
        <v>401</v>
      </c>
      <c r="AB33" s="196">
        <v>45</v>
      </c>
      <c r="AC33" s="196">
        <v>66</v>
      </c>
      <c r="AD33" s="196">
        <v>77</v>
      </c>
      <c r="AE33" s="197">
        <v>83</v>
      </c>
    </row>
    <row r="34" spans="1:31" x14ac:dyDescent="0.25">
      <c r="L34" s="63"/>
      <c r="P34"/>
      <c r="Y34" s="234"/>
      <c r="Z34" s="195"/>
      <c r="AA34" s="195" t="s">
        <v>408</v>
      </c>
      <c r="AB34" s="195">
        <v>36</v>
      </c>
      <c r="AC34" s="195">
        <v>60</v>
      </c>
      <c r="AD34" s="195">
        <v>73</v>
      </c>
      <c r="AE34" s="198">
        <v>79</v>
      </c>
    </row>
    <row r="35" spans="1:31" ht="15.75" thickBot="1" x14ac:dyDescent="0.3">
      <c r="D35" s="60" t="s">
        <v>106</v>
      </c>
      <c r="E35" s="60"/>
      <c r="L35" s="63"/>
      <c r="P35"/>
      <c r="Y35" s="235"/>
      <c r="Z35" s="199"/>
      <c r="AA35" s="199" t="s">
        <v>402</v>
      </c>
      <c r="AB35" s="199">
        <v>25</v>
      </c>
      <c r="AC35" s="199">
        <v>55</v>
      </c>
      <c r="AD35" s="199">
        <v>70</v>
      </c>
      <c r="AE35" s="200">
        <v>77</v>
      </c>
    </row>
    <row r="36" spans="1:31" ht="15.75" thickBot="1" x14ac:dyDescent="0.3">
      <c r="P36"/>
      <c r="Y36" s="208" t="s">
        <v>411</v>
      </c>
      <c r="Z36" s="201"/>
      <c r="AA36" s="201"/>
      <c r="AB36" s="201">
        <v>59</v>
      </c>
      <c r="AC36" s="201">
        <v>74</v>
      </c>
      <c r="AD36" s="201">
        <v>82</v>
      </c>
      <c r="AE36" s="202">
        <v>86</v>
      </c>
    </row>
    <row r="37" spans="1:31" ht="15.75" thickBot="1" x14ac:dyDescent="0.3">
      <c r="P37"/>
      <c r="Y37" s="208" t="s">
        <v>412</v>
      </c>
      <c r="Z37" s="201"/>
      <c r="AA37" s="201"/>
      <c r="AB37" s="201">
        <v>72</v>
      </c>
      <c r="AC37" s="201">
        <v>82</v>
      </c>
      <c r="AD37" s="201">
        <v>87</v>
      </c>
      <c r="AE37" s="202">
        <v>89</v>
      </c>
    </row>
    <row r="38" spans="1:31" ht="15.75" thickBot="1" x14ac:dyDescent="0.3">
      <c r="B38" s="2" t="s">
        <v>75</v>
      </c>
      <c r="C38" s="98" t="s">
        <v>112</v>
      </c>
      <c r="D38" s="37">
        <f>177.26*(N9^-0.5938)*N10</f>
        <v>148.8233439677648</v>
      </c>
      <c r="E38" s="98" t="s">
        <v>113</v>
      </c>
      <c r="G38" s="2" t="s">
        <v>75</v>
      </c>
      <c r="H38" s="27" t="s">
        <v>114</v>
      </c>
      <c r="I38" s="62">
        <f>D38/(3.6*(10^6))</f>
        <v>4.1339817768823556E-5</v>
      </c>
      <c r="J38" s="51" t="s">
        <v>115</v>
      </c>
      <c r="P38"/>
      <c r="Y38" s="209" t="s">
        <v>413</v>
      </c>
      <c r="Z38" s="203"/>
      <c r="AA38" s="203"/>
      <c r="AB38" s="203">
        <v>74</v>
      </c>
      <c r="AC38" s="203">
        <v>84</v>
      </c>
      <c r="AD38" s="203">
        <v>90</v>
      </c>
      <c r="AE38" s="204">
        <v>92</v>
      </c>
    </row>
    <row r="39" spans="1:31" x14ac:dyDescent="0.25">
      <c r="B39" s="2" t="s">
        <v>76</v>
      </c>
      <c r="C39" s="51" t="s">
        <v>112</v>
      </c>
      <c r="D39" s="37">
        <f>121.82*(N9^-0.4903)*N11</f>
        <v>104.20197999105746</v>
      </c>
      <c r="E39" s="51" t="s">
        <v>113</v>
      </c>
      <c r="G39" s="2" t="s">
        <v>76</v>
      </c>
      <c r="H39" s="27" t="s">
        <v>114</v>
      </c>
      <c r="I39" s="62">
        <f>D39/(3.6*(10^6))</f>
        <v>2.8944994441960404E-5</v>
      </c>
      <c r="J39" s="98" t="s">
        <v>115</v>
      </c>
      <c r="P39"/>
    </row>
    <row r="40" spans="1:31" x14ac:dyDescent="0.25">
      <c r="P40"/>
    </row>
    <row r="41" spans="1:31" x14ac:dyDescent="0.25">
      <c r="I41" s="149"/>
      <c r="J41" s="213" t="s">
        <v>296</v>
      </c>
      <c r="K41" s="213"/>
      <c r="L41" s="213"/>
      <c r="P41"/>
    </row>
    <row r="42" spans="1:31" x14ac:dyDescent="0.25">
      <c r="P42"/>
    </row>
    <row r="43" spans="1:31" x14ac:dyDescent="0.25">
      <c r="P43"/>
    </row>
    <row r="44" spans="1:31" x14ac:dyDescent="0.25">
      <c r="G44" s="222" t="s">
        <v>118</v>
      </c>
      <c r="H44" s="224"/>
      <c r="I44" s="224"/>
      <c r="J44" s="223"/>
      <c r="M44" s="92" t="s">
        <v>119</v>
      </c>
      <c r="N44" t="s">
        <v>120</v>
      </c>
      <c r="P44"/>
    </row>
    <row r="45" spans="1:31" x14ac:dyDescent="0.25">
      <c r="B45" s="214" t="s">
        <v>121</v>
      </c>
      <c r="C45" s="214"/>
      <c r="D45" s="90" t="s">
        <v>165</v>
      </c>
      <c r="E45" s="90" t="s">
        <v>122</v>
      </c>
      <c r="F45" s="217" t="s">
        <v>122</v>
      </c>
      <c r="G45" s="217" t="s">
        <v>123</v>
      </c>
      <c r="H45" s="93" t="s">
        <v>124</v>
      </c>
      <c r="I45" s="90" t="s">
        <v>125</v>
      </c>
      <c r="J45" s="90" t="s">
        <v>126</v>
      </c>
      <c r="K45" s="64" t="s">
        <v>127</v>
      </c>
      <c r="L45" s="44" t="s">
        <v>128</v>
      </c>
      <c r="M45" s="65" t="s">
        <v>129</v>
      </c>
      <c r="N45" s="22" t="s">
        <v>129</v>
      </c>
      <c r="P45"/>
    </row>
    <row r="46" spans="1:31" x14ac:dyDescent="0.25">
      <c r="B46" s="89" t="s">
        <v>130</v>
      </c>
      <c r="C46" s="89" t="s">
        <v>131</v>
      </c>
      <c r="D46" s="91" t="s">
        <v>45</v>
      </c>
      <c r="E46" s="91" t="s">
        <v>156</v>
      </c>
      <c r="F46" s="218"/>
      <c r="G46" s="218"/>
      <c r="H46" s="94" t="s">
        <v>132</v>
      </c>
      <c r="I46" s="91" t="s">
        <v>133</v>
      </c>
      <c r="J46" s="91" t="s">
        <v>58</v>
      </c>
      <c r="K46" s="91" t="s">
        <v>58</v>
      </c>
      <c r="L46" s="54" t="s">
        <v>115</v>
      </c>
      <c r="M46" s="66" t="s">
        <v>100</v>
      </c>
      <c r="N46" s="23" t="s">
        <v>134</v>
      </c>
      <c r="P46"/>
    </row>
    <row r="47" spans="1:31" x14ac:dyDescent="0.25">
      <c r="A47">
        <v>1</v>
      </c>
      <c r="B47" s="26">
        <v>0</v>
      </c>
      <c r="C47" s="99">
        <v>118.5</v>
      </c>
      <c r="D47" s="58">
        <f>C47-B47</f>
        <v>118.5</v>
      </c>
      <c r="E47" s="58">
        <v>12.6</v>
      </c>
      <c r="F47" s="5">
        <f>E47/100</f>
        <v>0.126</v>
      </c>
      <c r="G47" s="72">
        <f>(F47^0.5)/$N$8</f>
        <v>25.354627641855494</v>
      </c>
      <c r="H47" s="5">
        <f>($N$7/(G47*($I$38^(2/3))))^(3/5)</f>
        <v>18.99715423695724</v>
      </c>
      <c r="I47" s="57">
        <f t="shared" ref="I47:I78" si="0">G47*(($I$38*H47)^(5/3))</f>
        <v>1.6949325285217634E-4</v>
      </c>
      <c r="J47" s="5">
        <f>D47*I47</f>
        <v>2.0084950462982896E-2</v>
      </c>
      <c r="K47" s="5">
        <f>(1/$N$8)*$N$28*(($N$28/$N$29)^(2/3))*(F47^0.5)</f>
        <v>9.2425301088065903E-2</v>
      </c>
      <c r="L47" s="5">
        <f>K47/$D$28</f>
        <v>3.6970120435226352</v>
      </c>
      <c r="M47" s="67" t="str">
        <f>IF(L47&gt;4.5,"Verificar","Ok")</f>
        <v>Ok</v>
      </c>
      <c r="N47" s="67" t="str">
        <f>IF(K47&gt;J47,"Ok","Cambiar sección")</f>
        <v>Ok</v>
      </c>
      <c r="O47" s="110" t="s">
        <v>16</v>
      </c>
      <c r="P47"/>
    </row>
    <row r="48" spans="1:31" x14ac:dyDescent="0.25">
      <c r="A48">
        <v>2</v>
      </c>
      <c r="B48" s="24">
        <f>C47</f>
        <v>118.5</v>
      </c>
      <c r="C48" s="24">
        <v>205</v>
      </c>
      <c r="D48" s="58">
        <f t="shared" ref="D48:D111" si="1">C48-B48</f>
        <v>86.5</v>
      </c>
      <c r="E48" s="1">
        <v>2.6</v>
      </c>
      <c r="F48" s="5">
        <f t="shared" ref="F48:F111" si="2">E48/100</f>
        <v>2.6000000000000002E-2</v>
      </c>
      <c r="G48" s="72">
        <f t="shared" ref="G48:G111" si="3">(F48^0.5)/$N$8</f>
        <v>11.517511068997928</v>
      </c>
      <c r="H48" s="5">
        <f t="shared" ref="H48:H111" si="4">($N$7/(G48*($I$38^(2/3))))^(3/5)</f>
        <v>30.500552604375905</v>
      </c>
      <c r="I48" s="57">
        <f t="shared" si="0"/>
        <v>1.6949325285217615E-4</v>
      </c>
      <c r="J48" s="5">
        <f t="shared" ref="J48:J111" si="5">D48*I48</f>
        <v>1.4661166371713236E-2</v>
      </c>
      <c r="K48" s="5">
        <f t="shared" ref="K48:K111" si="6">(1/$N$8)*$N$28*(($N$28/$N$29)^(2/3))*(F48^0.5)</f>
        <v>4.1984818052700171E-2</v>
      </c>
      <c r="L48" s="5">
        <f t="shared" ref="L48:L111" si="7">K48/$D$28</f>
        <v>1.6793927221080065</v>
      </c>
      <c r="M48" s="67" t="str">
        <f t="shared" ref="M48:M111" si="8">IF(L48&gt;4.5,"Verificar","Ok")</f>
        <v>Ok</v>
      </c>
      <c r="N48" s="67" t="str">
        <f t="shared" ref="N48:N111" si="9">IF(K48&gt;J48,"Ok","Cambiar sección")</f>
        <v>Ok</v>
      </c>
      <c r="P48"/>
    </row>
    <row r="49" spans="1:16" x14ac:dyDescent="0.25">
      <c r="A49">
        <v>3</v>
      </c>
      <c r="B49" s="24">
        <f>C48</f>
        <v>205</v>
      </c>
      <c r="C49" s="99">
        <v>250</v>
      </c>
      <c r="D49" s="58">
        <f t="shared" si="1"/>
        <v>45</v>
      </c>
      <c r="E49" s="103">
        <v>0.5</v>
      </c>
      <c r="F49" s="5">
        <f t="shared" si="2"/>
        <v>5.0000000000000001E-3</v>
      </c>
      <c r="G49" s="72">
        <f t="shared" si="3"/>
        <v>5.0507627227610534</v>
      </c>
      <c r="H49" s="5">
        <f t="shared" si="4"/>
        <v>50.015971744101051</v>
      </c>
      <c r="I49" s="57">
        <f t="shared" si="0"/>
        <v>1.6949325285217634E-4</v>
      </c>
      <c r="J49" s="5">
        <f t="shared" si="5"/>
        <v>7.6271963783479356E-3</v>
      </c>
      <c r="K49" s="5">
        <f t="shared" si="6"/>
        <v>1.8411560681133605E-2</v>
      </c>
      <c r="L49" s="5">
        <f t="shared" si="7"/>
        <v>0.73646242724534405</v>
      </c>
      <c r="M49" s="67" t="str">
        <f t="shared" si="8"/>
        <v>Ok</v>
      </c>
      <c r="N49" s="67" t="str">
        <f t="shared" si="9"/>
        <v>Ok</v>
      </c>
      <c r="P49"/>
    </row>
    <row r="50" spans="1:16" x14ac:dyDescent="0.25">
      <c r="A50">
        <v>4</v>
      </c>
      <c r="B50" s="24">
        <f t="shared" ref="B50:B113" si="10">C49</f>
        <v>250</v>
      </c>
      <c r="C50" s="24">
        <v>355</v>
      </c>
      <c r="D50" s="58">
        <f t="shared" si="1"/>
        <v>105</v>
      </c>
      <c r="E50" s="1">
        <v>3.9</v>
      </c>
      <c r="F50" s="5">
        <f t="shared" si="2"/>
        <v>3.9E-2</v>
      </c>
      <c r="G50" s="72">
        <f t="shared" si="3"/>
        <v>14.106012612951069</v>
      </c>
      <c r="H50" s="5">
        <f t="shared" si="4"/>
        <v>27.007247858725993</v>
      </c>
      <c r="I50" s="57">
        <f t="shared" si="0"/>
        <v>1.694932528521765E-4</v>
      </c>
      <c r="J50" s="5">
        <f t="shared" si="5"/>
        <v>1.7796791549478531E-2</v>
      </c>
      <c r="K50" s="5">
        <f t="shared" si="6"/>
        <v>5.1420690586353533E-2</v>
      </c>
      <c r="L50" s="5">
        <f t="shared" si="7"/>
        <v>2.0568276234541409</v>
      </c>
      <c r="M50" s="67" t="str">
        <f t="shared" si="8"/>
        <v>Ok</v>
      </c>
      <c r="N50" s="67" t="str">
        <f t="shared" si="9"/>
        <v>Ok</v>
      </c>
      <c r="P50"/>
    </row>
    <row r="51" spans="1:16" x14ac:dyDescent="0.25">
      <c r="A51">
        <v>5</v>
      </c>
      <c r="B51" s="24">
        <f t="shared" si="10"/>
        <v>355</v>
      </c>
      <c r="C51" s="99">
        <v>436.2</v>
      </c>
      <c r="D51" s="58">
        <f t="shared" si="1"/>
        <v>81.199999999999989</v>
      </c>
      <c r="E51" s="1">
        <v>0.9</v>
      </c>
      <c r="F51" s="102">
        <f t="shared" si="2"/>
        <v>9.0000000000000011E-3</v>
      </c>
      <c r="G51" s="72">
        <f t="shared" si="3"/>
        <v>6.7763092717893851</v>
      </c>
      <c r="H51" s="5">
        <f t="shared" si="4"/>
        <v>41.930202465716263</v>
      </c>
      <c r="I51" s="57">
        <f t="shared" si="0"/>
        <v>1.694932528521764E-4</v>
      </c>
      <c r="J51" s="5">
        <f t="shared" si="5"/>
        <v>1.3762852131596722E-2</v>
      </c>
      <c r="K51" s="5">
        <f t="shared" si="6"/>
        <v>2.4701700752926246E-2</v>
      </c>
      <c r="L51" s="5">
        <f t="shared" si="7"/>
        <v>0.98806803011704969</v>
      </c>
      <c r="M51" s="67" t="str">
        <f t="shared" si="8"/>
        <v>Ok</v>
      </c>
      <c r="N51" s="67" t="str">
        <f t="shared" si="9"/>
        <v>Ok</v>
      </c>
      <c r="P51"/>
    </row>
    <row r="52" spans="1:16" x14ac:dyDescent="0.25">
      <c r="A52">
        <v>6</v>
      </c>
      <c r="B52" s="24">
        <f t="shared" si="10"/>
        <v>436.2</v>
      </c>
      <c r="C52" s="24">
        <v>550</v>
      </c>
      <c r="D52" s="58">
        <f t="shared" si="1"/>
        <v>113.80000000000001</v>
      </c>
      <c r="E52" s="1">
        <v>5.6</v>
      </c>
      <c r="F52" s="102">
        <f t="shared" si="2"/>
        <v>5.5999999999999994E-2</v>
      </c>
      <c r="G52" s="72">
        <f t="shared" si="3"/>
        <v>16.903085094570329</v>
      </c>
      <c r="H52" s="5">
        <f t="shared" si="4"/>
        <v>24.229435955982311</v>
      </c>
      <c r="I52" s="57">
        <f t="shared" si="0"/>
        <v>1.6949325285217623E-4</v>
      </c>
      <c r="J52" s="5">
        <f t="shared" si="5"/>
        <v>1.9288332174577656E-2</v>
      </c>
      <c r="K52" s="5">
        <f t="shared" si="6"/>
        <v>6.1616867392043938E-2</v>
      </c>
      <c r="L52" s="5">
        <f t="shared" si="7"/>
        <v>2.4646746956817571</v>
      </c>
      <c r="M52" s="67" t="str">
        <f t="shared" si="8"/>
        <v>Ok</v>
      </c>
      <c r="N52" s="67" t="str">
        <f t="shared" si="9"/>
        <v>Ok</v>
      </c>
      <c r="P52"/>
    </row>
    <row r="53" spans="1:16" x14ac:dyDescent="0.25">
      <c r="A53">
        <v>7</v>
      </c>
      <c r="B53" s="24">
        <f t="shared" si="10"/>
        <v>550</v>
      </c>
      <c r="C53" s="100">
        <v>775</v>
      </c>
      <c r="D53" s="58">
        <f t="shared" si="1"/>
        <v>225</v>
      </c>
      <c r="E53" s="1">
        <v>8.5</v>
      </c>
      <c r="F53" s="102">
        <f t="shared" si="2"/>
        <v>8.5000000000000006E-2</v>
      </c>
      <c r="G53" s="72">
        <f t="shared" si="3"/>
        <v>20.824828195876073</v>
      </c>
      <c r="H53" s="5">
        <f t="shared" si="4"/>
        <v>21.378342697069726</v>
      </c>
      <c r="I53" s="57">
        <f t="shared" si="0"/>
        <v>1.6949325285217642E-4</v>
      </c>
      <c r="J53" s="5">
        <f t="shared" si="5"/>
        <v>3.8135981891739695E-2</v>
      </c>
      <c r="K53" s="5">
        <f t="shared" si="6"/>
        <v>7.5912809420782906E-2</v>
      </c>
      <c r="L53" s="5">
        <f t="shared" si="7"/>
        <v>3.0365123768313156</v>
      </c>
      <c r="M53" s="67" t="str">
        <f t="shared" si="8"/>
        <v>Ok</v>
      </c>
      <c r="N53" s="67" t="str">
        <f t="shared" si="9"/>
        <v>Ok</v>
      </c>
      <c r="P53"/>
    </row>
    <row r="54" spans="1:16" x14ac:dyDescent="0.25">
      <c r="A54">
        <v>8</v>
      </c>
      <c r="B54" s="24">
        <f t="shared" si="10"/>
        <v>775</v>
      </c>
      <c r="C54" s="99">
        <v>858</v>
      </c>
      <c r="D54" s="58">
        <f t="shared" si="1"/>
        <v>83</v>
      </c>
      <c r="E54" s="1">
        <v>1.1000000000000001</v>
      </c>
      <c r="F54" s="102">
        <f t="shared" si="2"/>
        <v>1.1000000000000001E-2</v>
      </c>
      <c r="G54" s="72">
        <f t="shared" si="3"/>
        <v>7.4914917726439398</v>
      </c>
      <c r="H54" s="5">
        <f t="shared" si="4"/>
        <v>39.480432964813801</v>
      </c>
      <c r="I54" s="57">
        <f t="shared" si="0"/>
        <v>1.6949325285217645E-4</v>
      </c>
      <c r="J54" s="5">
        <f t="shared" si="5"/>
        <v>1.4067939986730645E-2</v>
      </c>
      <c r="K54" s="5">
        <f t="shared" si="6"/>
        <v>2.7308757693698612E-2</v>
      </c>
      <c r="L54" s="5">
        <f t="shared" si="7"/>
        <v>1.0923503077479442</v>
      </c>
      <c r="M54" s="67" t="str">
        <f t="shared" si="8"/>
        <v>Ok</v>
      </c>
      <c r="N54" s="67" t="str">
        <f t="shared" si="9"/>
        <v>Ok</v>
      </c>
      <c r="P54"/>
    </row>
    <row r="55" spans="1:16" x14ac:dyDescent="0.25">
      <c r="A55">
        <v>9</v>
      </c>
      <c r="B55" s="24">
        <f t="shared" si="10"/>
        <v>858</v>
      </c>
      <c r="C55" s="99">
        <v>1040</v>
      </c>
      <c r="D55" s="58">
        <f t="shared" si="1"/>
        <v>182</v>
      </c>
      <c r="E55" s="1">
        <v>10.6</v>
      </c>
      <c r="F55" s="102">
        <f t="shared" si="2"/>
        <v>0.106</v>
      </c>
      <c r="G55" s="72">
        <f t="shared" si="3"/>
        <v>23.255457994428149</v>
      </c>
      <c r="H55" s="5">
        <f t="shared" si="4"/>
        <v>20.00819690415867</v>
      </c>
      <c r="I55" s="57">
        <f t="shared" si="0"/>
        <v>1.6949325285217621E-4</v>
      </c>
      <c r="J55" s="5">
        <f t="shared" si="5"/>
        <v>3.0847772019096071E-2</v>
      </c>
      <c r="K55" s="5">
        <f t="shared" si="6"/>
        <v>8.4773191601822895E-2</v>
      </c>
      <c r="L55" s="5">
        <f t="shared" si="7"/>
        <v>3.3909276640729153</v>
      </c>
      <c r="M55" s="67" t="str">
        <f t="shared" si="8"/>
        <v>Ok</v>
      </c>
      <c r="N55" s="67" t="str">
        <f t="shared" si="9"/>
        <v>Ok</v>
      </c>
      <c r="P55"/>
    </row>
    <row r="56" spans="1:16" x14ac:dyDescent="0.25">
      <c r="A56">
        <v>10</v>
      </c>
      <c r="B56" s="24">
        <f t="shared" si="10"/>
        <v>1040</v>
      </c>
      <c r="C56" s="101">
        <v>1095</v>
      </c>
      <c r="D56" s="58">
        <f t="shared" si="1"/>
        <v>55</v>
      </c>
      <c r="E56" s="1">
        <v>10.6</v>
      </c>
      <c r="F56" s="102">
        <f t="shared" si="2"/>
        <v>0.106</v>
      </c>
      <c r="G56" s="72">
        <f t="shared" si="3"/>
        <v>23.255457994428149</v>
      </c>
      <c r="H56" s="5">
        <f t="shared" si="4"/>
        <v>20.00819690415867</v>
      </c>
      <c r="I56" s="57">
        <f t="shared" si="0"/>
        <v>1.6949325285217621E-4</v>
      </c>
      <c r="J56" s="5">
        <f t="shared" si="5"/>
        <v>9.3221289068696912E-3</v>
      </c>
      <c r="K56" s="5">
        <f t="shared" si="6"/>
        <v>8.4773191601822895E-2</v>
      </c>
      <c r="L56" s="5">
        <f t="shared" si="7"/>
        <v>3.3909276640729153</v>
      </c>
      <c r="M56" s="67" t="str">
        <f t="shared" si="8"/>
        <v>Ok</v>
      </c>
      <c r="N56" s="67" t="str">
        <f t="shared" si="9"/>
        <v>Ok</v>
      </c>
      <c r="P56"/>
    </row>
    <row r="57" spans="1:16" x14ac:dyDescent="0.25">
      <c r="A57">
        <v>11</v>
      </c>
      <c r="B57" s="24">
        <f t="shared" si="10"/>
        <v>1095</v>
      </c>
      <c r="C57" s="24">
        <v>1250</v>
      </c>
      <c r="D57" s="58">
        <f t="shared" si="1"/>
        <v>155</v>
      </c>
      <c r="E57" s="1">
        <v>3.2</v>
      </c>
      <c r="F57" s="102">
        <f t="shared" si="2"/>
        <v>3.2000000000000001E-2</v>
      </c>
      <c r="G57" s="72">
        <f t="shared" si="3"/>
        <v>12.777531299998799</v>
      </c>
      <c r="H57" s="5">
        <f t="shared" si="4"/>
        <v>28.658583365251122</v>
      </c>
      <c r="I57" s="57">
        <f t="shared" si="0"/>
        <v>1.6949325285217642E-4</v>
      </c>
      <c r="J57" s="5">
        <f t="shared" si="5"/>
        <v>2.6271454192087346E-2</v>
      </c>
      <c r="K57" s="5">
        <f t="shared" si="6"/>
        <v>4.6577973624626651E-2</v>
      </c>
      <c r="L57" s="5">
        <f t="shared" si="7"/>
        <v>1.8631189449850656</v>
      </c>
      <c r="M57" s="67" t="str">
        <f t="shared" si="8"/>
        <v>Ok</v>
      </c>
      <c r="N57" s="67" t="str">
        <f t="shared" si="9"/>
        <v>Ok</v>
      </c>
      <c r="P57"/>
    </row>
    <row r="58" spans="1:16" x14ac:dyDescent="0.25">
      <c r="A58">
        <v>12</v>
      </c>
      <c r="B58" s="24">
        <f t="shared" si="10"/>
        <v>1250</v>
      </c>
      <c r="C58" s="99">
        <v>1321.5</v>
      </c>
      <c r="D58" s="58">
        <f t="shared" si="1"/>
        <v>71.5</v>
      </c>
      <c r="E58" s="1">
        <v>11.9</v>
      </c>
      <c r="F58" s="102">
        <f t="shared" si="2"/>
        <v>0.11900000000000001</v>
      </c>
      <c r="G58" s="72">
        <f t="shared" si="3"/>
        <v>24.640269015229055</v>
      </c>
      <c r="H58" s="5">
        <f t="shared" si="4"/>
        <v>19.325717369392514</v>
      </c>
      <c r="I58" s="57">
        <f t="shared" si="0"/>
        <v>1.6949325285217618E-4</v>
      </c>
      <c r="J58" s="5">
        <f t="shared" si="5"/>
        <v>1.2118767578930597E-2</v>
      </c>
      <c r="K58" s="5">
        <f t="shared" si="6"/>
        <v>8.9821247418517561E-2</v>
      </c>
      <c r="L58" s="5">
        <f t="shared" si="7"/>
        <v>3.5928498967407019</v>
      </c>
      <c r="M58" s="67" t="str">
        <f t="shared" si="8"/>
        <v>Ok</v>
      </c>
      <c r="N58" s="67" t="str">
        <f t="shared" si="9"/>
        <v>Ok</v>
      </c>
      <c r="P58"/>
    </row>
    <row r="59" spans="1:16" x14ac:dyDescent="0.25">
      <c r="A59">
        <v>13</v>
      </c>
      <c r="B59" s="24">
        <f t="shared" si="10"/>
        <v>1321.5</v>
      </c>
      <c r="C59" s="99">
        <v>1440</v>
      </c>
      <c r="D59" s="58">
        <f t="shared" si="1"/>
        <v>118.5</v>
      </c>
      <c r="E59" s="1">
        <v>11.9</v>
      </c>
      <c r="F59" s="102">
        <f t="shared" si="2"/>
        <v>0.11900000000000001</v>
      </c>
      <c r="G59" s="72">
        <f t="shared" si="3"/>
        <v>24.640269015229055</v>
      </c>
      <c r="H59" s="5">
        <f t="shared" si="4"/>
        <v>19.325717369392514</v>
      </c>
      <c r="I59" s="57">
        <f t="shared" si="0"/>
        <v>1.6949325285217618E-4</v>
      </c>
      <c r="J59" s="5">
        <f t="shared" si="5"/>
        <v>2.0084950462982878E-2</v>
      </c>
      <c r="K59" s="5">
        <f t="shared" si="6"/>
        <v>8.9821247418517561E-2</v>
      </c>
      <c r="L59" s="5">
        <f t="shared" si="7"/>
        <v>3.5928498967407019</v>
      </c>
      <c r="M59" s="67" t="str">
        <f t="shared" si="8"/>
        <v>Ok</v>
      </c>
      <c r="N59" s="67" t="str">
        <f t="shared" si="9"/>
        <v>Ok</v>
      </c>
      <c r="P59"/>
    </row>
    <row r="60" spans="1:16" x14ac:dyDescent="0.25">
      <c r="A60">
        <v>14</v>
      </c>
      <c r="B60" s="24">
        <f t="shared" si="10"/>
        <v>1440</v>
      </c>
      <c r="C60" s="99">
        <v>1719.5</v>
      </c>
      <c r="D60" s="58">
        <f t="shared" si="1"/>
        <v>279.5</v>
      </c>
      <c r="E60" s="1">
        <v>16.5</v>
      </c>
      <c r="F60" s="102">
        <f t="shared" si="2"/>
        <v>0.16500000000000001</v>
      </c>
      <c r="G60" s="72">
        <f t="shared" si="3"/>
        <v>29.014422873699857</v>
      </c>
      <c r="H60" s="5">
        <f t="shared" si="4"/>
        <v>17.520824078773906</v>
      </c>
      <c r="I60" s="57">
        <f t="shared" si="0"/>
        <v>1.694932528521764E-4</v>
      </c>
      <c r="J60" s="5">
        <f t="shared" si="5"/>
        <v>4.7373364172183303E-2</v>
      </c>
      <c r="K60" s="5">
        <f t="shared" si="6"/>
        <v>0.10576636375330838</v>
      </c>
      <c r="L60" s="5">
        <f t="shared" si="7"/>
        <v>4.2306545501323338</v>
      </c>
      <c r="M60" s="67" t="str">
        <f t="shared" si="8"/>
        <v>Ok</v>
      </c>
      <c r="N60" s="67" t="str">
        <f t="shared" si="9"/>
        <v>Ok</v>
      </c>
      <c r="P60"/>
    </row>
    <row r="61" spans="1:16" x14ac:dyDescent="0.25">
      <c r="A61">
        <v>15</v>
      </c>
      <c r="B61" s="24">
        <f t="shared" si="10"/>
        <v>1719.5</v>
      </c>
      <c r="C61" s="101">
        <v>1760</v>
      </c>
      <c r="D61" s="58">
        <f t="shared" si="1"/>
        <v>40.5</v>
      </c>
      <c r="E61" s="1">
        <v>16.5</v>
      </c>
      <c r="F61" s="102">
        <f t="shared" si="2"/>
        <v>0.16500000000000001</v>
      </c>
      <c r="G61" s="72">
        <f t="shared" si="3"/>
        <v>29.014422873699857</v>
      </c>
      <c r="H61" s="5">
        <f t="shared" si="4"/>
        <v>17.520824078773906</v>
      </c>
      <c r="I61" s="57">
        <f t="shared" si="0"/>
        <v>1.694932528521764E-4</v>
      </c>
      <c r="J61" s="5">
        <f t="shared" si="5"/>
        <v>6.8644767405131443E-3</v>
      </c>
      <c r="K61" s="5">
        <f t="shared" si="6"/>
        <v>0.10576636375330838</v>
      </c>
      <c r="L61" s="5">
        <f t="shared" si="7"/>
        <v>4.2306545501323338</v>
      </c>
      <c r="M61" s="67" t="str">
        <f t="shared" si="8"/>
        <v>Ok</v>
      </c>
      <c r="N61" s="67" t="str">
        <f t="shared" si="9"/>
        <v>Ok</v>
      </c>
      <c r="P61"/>
    </row>
    <row r="62" spans="1:16" x14ac:dyDescent="0.25">
      <c r="A62">
        <v>16</v>
      </c>
      <c r="B62" s="24">
        <f t="shared" si="10"/>
        <v>1760</v>
      </c>
      <c r="C62" s="99">
        <v>1905.6</v>
      </c>
      <c r="D62" s="58">
        <f t="shared" si="1"/>
        <v>145.59999999999991</v>
      </c>
      <c r="E62" s="1">
        <v>9</v>
      </c>
      <c r="F62" s="102">
        <f t="shared" si="2"/>
        <v>0.09</v>
      </c>
      <c r="G62" s="72">
        <f t="shared" si="3"/>
        <v>21.428571428571427</v>
      </c>
      <c r="H62" s="5">
        <f t="shared" si="4"/>
        <v>21.014882179223768</v>
      </c>
      <c r="I62" s="57">
        <f t="shared" si="0"/>
        <v>1.6949325285217629E-4</v>
      </c>
      <c r="J62" s="5">
        <f t="shared" si="5"/>
        <v>2.4678217615276853E-2</v>
      </c>
      <c r="K62" s="5">
        <f t="shared" si="6"/>
        <v>7.8113636459143099E-2</v>
      </c>
      <c r="L62" s="5">
        <f t="shared" si="7"/>
        <v>3.1245454583657235</v>
      </c>
      <c r="M62" s="67" t="str">
        <f t="shared" si="8"/>
        <v>Ok</v>
      </c>
      <c r="N62" s="67" t="str">
        <f t="shared" si="9"/>
        <v>Ok</v>
      </c>
      <c r="P62"/>
    </row>
    <row r="63" spans="1:16" x14ac:dyDescent="0.25">
      <c r="A63">
        <v>17</v>
      </c>
      <c r="B63" s="24">
        <f t="shared" si="10"/>
        <v>1905.6</v>
      </c>
      <c r="C63" s="100">
        <v>2035</v>
      </c>
      <c r="D63" s="58">
        <f t="shared" si="1"/>
        <v>129.40000000000009</v>
      </c>
      <c r="E63" s="1">
        <v>9</v>
      </c>
      <c r="F63" s="102">
        <f t="shared" si="2"/>
        <v>0.09</v>
      </c>
      <c r="G63" s="72">
        <f t="shared" si="3"/>
        <v>21.428571428571427</v>
      </c>
      <c r="H63" s="5">
        <f t="shared" si="4"/>
        <v>21.014882179223768</v>
      </c>
      <c r="I63" s="57">
        <f t="shared" si="0"/>
        <v>1.6949325285217629E-4</v>
      </c>
      <c r="J63" s="5">
        <f t="shared" si="5"/>
        <v>2.1932426919071626E-2</v>
      </c>
      <c r="K63" s="5">
        <f t="shared" si="6"/>
        <v>7.8113636459143099E-2</v>
      </c>
      <c r="L63" s="5">
        <f t="shared" si="7"/>
        <v>3.1245454583657235</v>
      </c>
      <c r="M63" s="67" t="str">
        <f t="shared" si="8"/>
        <v>Ok</v>
      </c>
      <c r="N63" s="67" t="str">
        <f t="shared" si="9"/>
        <v>Ok</v>
      </c>
      <c r="P63"/>
    </row>
    <row r="64" spans="1:16" x14ac:dyDescent="0.25">
      <c r="A64">
        <v>18</v>
      </c>
      <c r="B64" s="24">
        <f t="shared" si="10"/>
        <v>2035</v>
      </c>
      <c r="C64" s="99">
        <v>2298.4</v>
      </c>
      <c r="D64" s="58">
        <f t="shared" si="1"/>
        <v>263.40000000000009</v>
      </c>
      <c r="E64" s="1">
        <v>17.899999999999999</v>
      </c>
      <c r="F64" s="102">
        <f t="shared" si="2"/>
        <v>0.17899999999999999</v>
      </c>
      <c r="G64" s="72">
        <f t="shared" si="3"/>
        <v>30.220279716151687</v>
      </c>
      <c r="H64" s="5">
        <f t="shared" si="4"/>
        <v>17.097940561909905</v>
      </c>
      <c r="I64" s="57">
        <f t="shared" si="0"/>
        <v>1.6949325285217632E-4</v>
      </c>
      <c r="J64" s="5">
        <f t="shared" si="5"/>
        <v>4.4644522801263256E-2</v>
      </c>
      <c r="K64" s="5">
        <f t="shared" si="6"/>
        <v>0.11016207736058416</v>
      </c>
      <c r="L64" s="5">
        <f t="shared" si="7"/>
        <v>4.4064830944233657</v>
      </c>
      <c r="M64" s="67" t="str">
        <f t="shared" si="8"/>
        <v>Ok</v>
      </c>
      <c r="N64" s="67" t="str">
        <f t="shared" si="9"/>
        <v>Ok</v>
      </c>
      <c r="P64"/>
    </row>
    <row r="65" spans="1:16" x14ac:dyDescent="0.25">
      <c r="A65">
        <v>19</v>
      </c>
      <c r="B65" s="24">
        <f t="shared" si="10"/>
        <v>2298.4</v>
      </c>
      <c r="C65" s="100">
        <v>2640</v>
      </c>
      <c r="D65" s="58">
        <f t="shared" si="1"/>
        <v>341.59999999999991</v>
      </c>
      <c r="E65" s="1">
        <v>17.899999999999999</v>
      </c>
      <c r="F65" s="102">
        <f t="shared" si="2"/>
        <v>0.17899999999999999</v>
      </c>
      <c r="G65" s="72">
        <f t="shared" si="3"/>
        <v>30.220279716151687</v>
      </c>
      <c r="H65" s="5">
        <f t="shared" si="4"/>
        <v>17.097940561909905</v>
      </c>
      <c r="I65" s="57">
        <f t="shared" si="0"/>
        <v>1.6949325285217632E-4</v>
      </c>
      <c r="J65" s="5">
        <f t="shared" si="5"/>
        <v>5.7898895174303411E-2</v>
      </c>
      <c r="K65" s="5">
        <f t="shared" si="6"/>
        <v>0.11016207736058416</v>
      </c>
      <c r="L65" s="5">
        <f t="shared" si="7"/>
        <v>4.4064830944233657</v>
      </c>
      <c r="M65" s="67" t="str">
        <f t="shared" si="8"/>
        <v>Ok</v>
      </c>
      <c r="N65" s="67" t="str">
        <f t="shared" si="9"/>
        <v>Ok</v>
      </c>
      <c r="P65"/>
    </row>
    <row r="66" spans="1:16" x14ac:dyDescent="0.25">
      <c r="A66">
        <v>20</v>
      </c>
      <c r="B66" s="24">
        <f t="shared" si="10"/>
        <v>2640</v>
      </c>
      <c r="C66" s="99">
        <v>2815</v>
      </c>
      <c r="D66" s="58">
        <f t="shared" si="1"/>
        <v>175</v>
      </c>
      <c r="E66" s="1">
        <v>9.4</v>
      </c>
      <c r="F66" s="102">
        <f t="shared" si="2"/>
        <v>9.4E-2</v>
      </c>
      <c r="G66" s="72">
        <f t="shared" si="3"/>
        <v>21.899585309651272</v>
      </c>
      <c r="H66" s="5">
        <f t="shared" si="4"/>
        <v>20.742512296046328</v>
      </c>
      <c r="I66" s="57">
        <f t="shared" si="0"/>
        <v>1.6949325285217634E-4</v>
      </c>
      <c r="J66" s="5">
        <f t="shared" si="5"/>
        <v>2.966131924913086E-2</v>
      </c>
      <c r="K66" s="5">
        <f t="shared" si="6"/>
        <v>7.9830624789257537E-2</v>
      </c>
      <c r="L66" s="5">
        <f t="shared" si="7"/>
        <v>3.1932249915703008</v>
      </c>
      <c r="M66" s="67" t="str">
        <f t="shared" si="8"/>
        <v>Ok</v>
      </c>
      <c r="N66" s="67" t="str">
        <f t="shared" si="9"/>
        <v>Ok</v>
      </c>
      <c r="P66"/>
    </row>
    <row r="67" spans="1:16" x14ac:dyDescent="0.25">
      <c r="A67">
        <v>21</v>
      </c>
      <c r="B67" s="24">
        <f t="shared" si="10"/>
        <v>2815</v>
      </c>
      <c r="C67" s="99">
        <v>2992.8</v>
      </c>
      <c r="D67" s="58">
        <f t="shared" si="1"/>
        <v>177.80000000000018</v>
      </c>
      <c r="E67" s="1">
        <v>9.4</v>
      </c>
      <c r="F67" s="102">
        <f t="shared" si="2"/>
        <v>9.4E-2</v>
      </c>
      <c r="G67" s="72">
        <f t="shared" si="3"/>
        <v>21.899585309651272</v>
      </c>
      <c r="H67" s="5">
        <f t="shared" si="4"/>
        <v>20.742512296046328</v>
      </c>
      <c r="I67" s="57">
        <f t="shared" si="0"/>
        <v>1.6949325285217634E-4</v>
      </c>
      <c r="J67" s="5">
        <f t="shared" si="5"/>
        <v>3.0135900357116985E-2</v>
      </c>
      <c r="K67" s="5">
        <f t="shared" si="6"/>
        <v>7.9830624789257537E-2</v>
      </c>
      <c r="L67" s="5">
        <f t="shared" si="7"/>
        <v>3.1932249915703008</v>
      </c>
      <c r="M67" s="67" t="str">
        <f t="shared" si="8"/>
        <v>Ok</v>
      </c>
      <c r="N67" s="67" t="str">
        <f t="shared" si="9"/>
        <v>Ok</v>
      </c>
      <c r="P67"/>
    </row>
    <row r="68" spans="1:16" x14ac:dyDescent="0.25">
      <c r="A68">
        <v>22</v>
      </c>
      <c r="B68" s="24">
        <f t="shared" si="10"/>
        <v>2992.8</v>
      </c>
      <c r="C68" s="100">
        <v>3105</v>
      </c>
      <c r="D68" s="58">
        <f t="shared" si="1"/>
        <v>112.19999999999982</v>
      </c>
      <c r="E68" s="1">
        <v>9.4</v>
      </c>
      <c r="F68" s="102">
        <f t="shared" si="2"/>
        <v>9.4E-2</v>
      </c>
      <c r="G68" s="72">
        <f t="shared" si="3"/>
        <v>21.899585309651272</v>
      </c>
      <c r="H68" s="5">
        <f t="shared" si="4"/>
        <v>20.742512296046328</v>
      </c>
      <c r="I68" s="57">
        <f t="shared" si="0"/>
        <v>1.6949325285217634E-4</v>
      </c>
      <c r="J68" s="5">
        <f t="shared" si="5"/>
        <v>1.9017142970014153E-2</v>
      </c>
      <c r="K68" s="5">
        <f t="shared" si="6"/>
        <v>7.9830624789257537E-2</v>
      </c>
      <c r="L68" s="5">
        <f t="shared" si="7"/>
        <v>3.1932249915703008</v>
      </c>
      <c r="M68" s="67" t="str">
        <f t="shared" si="8"/>
        <v>Ok</v>
      </c>
      <c r="N68" s="67" t="str">
        <f t="shared" si="9"/>
        <v>Ok</v>
      </c>
      <c r="P68"/>
    </row>
    <row r="69" spans="1:16" x14ac:dyDescent="0.25">
      <c r="A69">
        <v>23</v>
      </c>
      <c r="B69" s="24">
        <f t="shared" si="10"/>
        <v>3105</v>
      </c>
      <c r="C69" s="99">
        <v>3281.5</v>
      </c>
      <c r="D69" s="58">
        <f t="shared" si="1"/>
        <v>176.5</v>
      </c>
      <c r="E69" s="1">
        <v>16.3</v>
      </c>
      <c r="F69" s="102">
        <f t="shared" si="2"/>
        <v>0.16300000000000001</v>
      </c>
      <c r="G69" s="72">
        <f t="shared" si="3"/>
        <v>28.838041768837641</v>
      </c>
      <c r="H69" s="5">
        <f t="shared" si="4"/>
        <v>17.585042852305005</v>
      </c>
      <c r="I69" s="57">
        <f t="shared" si="0"/>
        <v>1.694932528521765E-4</v>
      </c>
      <c r="J69" s="5">
        <f t="shared" si="5"/>
        <v>2.9915559128409153E-2</v>
      </c>
      <c r="K69" s="5">
        <f t="shared" si="6"/>
        <v>0.10512340117647982</v>
      </c>
      <c r="L69" s="5">
        <f t="shared" si="7"/>
        <v>4.2049360470591921</v>
      </c>
      <c r="M69" s="67" t="str">
        <f t="shared" si="8"/>
        <v>Ok</v>
      </c>
      <c r="N69" s="67" t="str">
        <f t="shared" si="9"/>
        <v>Ok</v>
      </c>
      <c r="P69"/>
    </row>
    <row r="70" spans="1:16" x14ac:dyDescent="0.25">
      <c r="A70">
        <v>24</v>
      </c>
      <c r="B70" s="24">
        <f t="shared" si="10"/>
        <v>3281.5</v>
      </c>
      <c r="C70" s="100">
        <v>3490</v>
      </c>
      <c r="D70" s="58">
        <f t="shared" si="1"/>
        <v>208.5</v>
      </c>
      <c r="E70" s="1">
        <v>16.3</v>
      </c>
      <c r="F70" s="102">
        <f t="shared" si="2"/>
        <v>0.16300000000000001</v>
      </c>
      <c r="G70" s="72">
        <f t="shared" si="3"/>
        <v>28.838041768837641</v>
      </c>
      <c r="H70" s="5">
        <f t="shared" si="4"/>
        <v>17.585042852305005</v>
      </c>
      <c r="I70" s="57">
        <f t="shared" si="0"/>
        <v>1.694932528521765E-4</v>
      </c>
      <c r="J70" s="5">
        <f t="shared" si="5"/>
        <v>3.5339343219678798E-2</v>
      </c>
      <c r="K70" s="5">
        <f t="shared" si="6"/>
        <v>0.10512340117647982</v>
      </c>
      <c r="L70" s="5">
        <f t="shared" si="7"/>
        <v>4.2049360470591921</v>
      </c>
      <c r="M70" s="67" t="str">
        <f t="shared" si="8"/>
        <v>Ok</v>
      </c>
      <c r="N70" s="67" t="str">
        <f t="shared" si="9"/>
        <v>Ok</v>
      </c>
      <c r="P70"/>
    </row>
    <row r="71" spans="1:16" x14ac:dyDescent="0.25">
      <c r="A71">
        <v>25</v>
      </c>
      <c r="B71" s="24">
        <f t="shared" si="10"/>
        <v>3490</v>
      </c>
      <c r="C71" s="99">
        <v>3590</v>
      </c>
      <c r="D71" s="58">
        <f t="shared" si="1"/>
        <v>100</v>
      </c>
      <c r="E71" s="1">
        <v>6.8</v>
      </c>
      <c r="F71" s="102">
        <f t="shared" si="2"/>
        <v>6.8000000000000005E-2</v>
      </c>
      <c r="G71" s="72">
        <f t="shared" si="3"/>
        <v>18.626292586293285</v>
      </c>
      <c r="H71" s="5">
        <f t="shared" si="4"/>
        <v>22.858463702175879</v>
      </c>
      <c r="I71" s="57">
        <f t="shared" si="0"/>
        <v>1.694932528521764E-4</v>
      </c>
      <c r="J71" s="5">
        <f t="shared" si="5"/>
        <v>1.6949325285217639E-2</v>
      </c>
      <c r="K71" s="5">
        <f t="shared" si="6"/>
        <v>6.7898480891142809E-2</v>
      </c>
      <c r="L71" s="5">
        <f t="shared" si="7"/>
        <v>2.7159392356457119</v>
      </c>
      <c r="M71" s="67" t="str">
        <f t="shared" si="8"/>
        <v>Ok</v>
      </c>
      <c r="N71" s="67" t="str">
        <f t="shared" si="9"/>
        <v>Ok</v>
      </c>
      <c r="P71"/>
    </row>
    <row r="72" spans="1:16" x14ac:dyDescent="0.25">
      <c r="A72">
        <v>26</v>
      </c>
      <c r="B72" s="24">
        <f t="shared" si="10"/>
        <v>3590</v>
      </c>
      <c r="C72" s="100">
        <v>3760</v>
      </c>
      <c r="D72" s="58">
        <f t="shared" si="1"/>
        <v>170</v>
      </c>
      <c r="E72" s="1">
        <v>13.1</v>
      </c>
      <c r="F72" s="102">
        <f t="shared" si="2"/>
        <v>0.13100000000000001</v>
      </c>
      <c r="G72" s="72">
        <f t="shared" si="3"/>
        <v>25.852801529791225</v>
      </c>
      <c r="H72" s="5">
        <f t="shared" si="4"/>
        <v>18.776659190420609</v>
      </c>
      <c r="I72" s="57">
        <f t="shared" si="0"/>
        <v>1.6949325285217618E-4</v>
      </c>
      <c r="J72" s="5">
        <f t="shared" si="5"/>
        <v>2.881385298486995E-2</v>
      </c>
      <c r="K72" s="5">
        <f t="shared" si="6"/>
        <v>9.4241295873596226E-2</v>
      </c>
      <c r="L72" s="5">
        <f t="shared" si="7"/>
        <v>3.7696518349438484</v>
      </c>
      <c r="M72" s="67" t="str">
        <f t="shared" si="8"/>
        <v>Ok</v>
      </c>
      <c r="N72" s="67" t="str">
        <f t="shared" si="9"/>
        <v>Ok</v>
      </c>
      <c r="P72"/>
    </row>
    <row r="73" spans="1:16" x14ac:dyDescent="0.25">
      <c r="A73">
        <v>27</v>
      </c>
      <c r="B73" s="24">
        <f t="shared" si="10"/>
        <v>3760</v>
      </c>
      <c r="C73" s="99">
        <v>4140</v>
      </c>
      <c r="D73" s="104">
        <f t="shared" si="1"/>
        <v>380</v>
      </c>
      <c r="E73" s="1">
        <v>17</v>
      </c>
      <c r="F73" s="102">
        <f t="shared" si="2"/>
        <v>0.17</v>
      </c>
      <c r="G73" s="72">
        <f t="shared" si="3"/>
        <v>29.450754468697575</v>
      </c>
      <c r="H73" s="5">
        <f t="shared" si="4"/>
        <v>17.364610085819713</v>
      </c>
      <c r="I73" s="57">
        <f t="shared" si="0"/>
        <v>1.6949325285217626E-4</v>
      </c>
      <c r="J73" s="5">
        <f t="shared" si="5"/>
        <v>6.4407436083826985E-2</v>
      </c>
      <c r="K73" s="5">
        <f t="shared" si="6"/>
        <v>0.10735692464071524</v>
      </c>
      <c r="L73" s="5">
        <f t="shared" si="7"/>
        <v>4.2942769856286089</v>
      </c>
      <c r="M73" s="67" t="str">
        <f t="shared" si="8"/>
        <v>Ok</v>
      </c>
      <c r="N73" s="67" t="str">
        <f t="shared" si="9"/>
        <v>Ok</v>
      </c>
      <c r="P73"/>
    </row>
    <row r="74" spans="1:16" x14ac:dyDescent="0.25">
      <c r="A74">
        <v>28</v>
      </c>
      <c r="B74" s="24">
        <f t="shared" si="10"/>
        <v>4140</v>
      </c>
      <c r="C74" s="100">
        <v>4340</v>
      </c>
      <c r="D74" s="58">
        <f t="shared" si="1"/>
        <v>200</v>
      </c>
      <c r="E74" s="1">
        <v>18</v>
      </c>
      <c r="F74" s="102">
        <f t="shared" si="2"/>
        <v>0.18</v>
      </c>
      <c r="G74" s="72">
        <f t="shared" si="3"/>
        <v>30.304576336566321</v>
      </c>
      <c r="H74" s="5">
        <f t="shared" si="4"/>
        <v>17.069388409218455</v>
      </c>
      <c r="I74" s="57">
        <f t="shared" si="0"/>
        <v>1.6949325285217642E-4</v>
      </c>
      <c r="J74" s="5">
        <f t="shared" si="5"/>
        <v>3.3898650570435285E-2</v>
      </c>
      <c r="K74" s="5">
        <f t="shared" si="6"/>
        <v>0.11046936408680164</v>
      </c>
      <c r="L74" s="5">
        <f t="shared" si="7"/>
        <v>4.4187745634720645</v>
      </c>
      <c r="M74" s="67" t="str">
        <f t="shared" si="8"/>
        <v>Ok</v>
      </c>
      <c r="N74" s="67" t="str">
        <f t="shared" si="9"/>
        <v>Ok</v>
      </c>
      <c r="P74"/>
    </row>
    <row r="75" spans="1:16" x14ac:dyDescent="0.25">
      <c r="A75">
        <v>29</v>
      </c>
      <c r="B75" s="24">
        <f t="shared" si="10"/>
        <v>4340</v>
      </c>
      <c r="C75" s="100">
        <v>4525</v>
      </c>
      <c r="D75" s="58">
        <f t="shared" si="1"/>
        <v>185</v>
      </c>
      <c r="E75" s="1">
        <v>12.1</v>
      </c>
      <c r="F75" s="102">
        <f t="shared" si="2"/>
        <v>0.121</v>
      </c>
      <c r="G75" s="72">
        <f t="shared" si="3"/>
        <v>24.846467329894409</v>
      </c>
      <c r="H75" s="5">
        <f t="shared" si="4"/>
        <v>19.229327726186831</v>
      </c>
      <c r="I75" s="57">
        <f t="shared" si="0"/>
        <v>1.6949325285217626E-4</v>
      </c>
      <c r="J75" s="5">
        <f t="shared" si="5"/>
        <v>3.1356251777652611E-2</v>
      </c>
      <c r="K75" s="5">
        <f t="shared" si="6"/>
        <v>9.0572902760729559E-2</v>
      </c>
      <c r="L75" s="5">
        <f t="shared" si="7"/>
        <v>3.6229161104291818</v>
      </c>
      <c r="M75" s="67" t="str">
        <f t="shared" si="8"/>
        <v>Ok</v>
      </c>
      <c r="N75" s="67" t="str">
        <f t="shared" si="9"/>
        <v>Ok</v>
      </c>
      <c r="P75"/>
    </row>
    <row r="76" spans="1:16" x14ac:dyDescent="0.25">
      <c r="A76">
        <v>30</v>
      </c>
      <c r="B76" s="24">
        <f t="shared" si="10"/>
        <v>4525</v>
      </c>
      <c r="C76" s="99">
        <v>4661.6000000000004</v>
      </c>
      <c r="D76" s="58">
        <f t="shared" si="1"/>
        <v>136.60000000000036</v>
      </c>
      <c r="E76" s="1">
        <v>17.2</v>
      </c>
      <c r="F76" s="102">
        <f t="shared" si="2"/>
        <v>0.17199999999999999</v>
      </c>
      <c r="G76" s="72">
        <f t="shared" si="3"/>
        <v>29.623487647611029</v>
      </c>
      <c r="H76" s="5">
        <f t="shared" si="4"/>
        <v>17.303787704360239</v>
      </c>
      <c r="I76" s="57">
        <f t="shared" si="0"/>
        <v>1.6949325285217629E-4</v>
      </c>
      <c r="J76" s="5">
        <f t="shared" si="5"/>
        <v>2.3152778339607341E-2</v>
      </c>
      <c r="K76" s="5">
        <f t="shared" si="6"/>
        <v>0.10798658942201218</v>
      </c>
      <c r="L76" s="5">
        <f t="shared" si="7"/>
        <v>4.3194635768804863</v>
      </c>
      <c r="M76" s="67" t="str">
        <f t="shared" si="8"/>
        <v>Ok</v>
      </c>
      <c r="N76" s="67" t="str">
        <f t="shared" si="9"/>
        <v>Ok</v>
      </c>
      <c r="P76"/>
    </row>
    <row r="77" spans="1:16" x14ac:dyDescent="0.25">
      <c r="A77">
        <v>31</v>
      </c>
      <c r="B77" s="24">
        <f t="shared" si="10"/>
        <v>4661.6000000000004</v>
      </c>
      <c r="C77" s="99">
        <v>4785</v>
      </c>
      <c r="D77" s="58">
        <f t="shared" si="1"/>
        <v>123.39999999999964</v>
      </c>
      <c r="E77" s="1">
        <v>17.2</v>
      </c>
      <c r="F77" s="102">
        <f t="shared" si="2"/>
        <v>0.17199999999999999</v>
      </c>
      <c r="G77" s="72">
        <f t="shared" si="3"/>
        <v>29.623487647611029</v>
      </c>
      <c r="H77" s="5">
        <f t="shared" si="4"/>
        <v>17.303787704360239</v>
      </c>
      <c r="I77" s="57">
        <f t="shared" si="0"/>
        <v>1.6949325285217629E-4</v>
      </c>
      <c r="J77" s="5">
        <f t="shared" si="5"/>
        <v>2.0915467401958491E-2</v>
      </c>
      <c r="K77" s="5">
        <f t="shared" si="6"/>
        <v>0.10798658942201218</v>
      </c>
      <c r="L77" s="5">
        <f t="shared" si="7"/>
        <v>4.3194635768804863</v>
      </c>
      <c r="M77" s="67" t="str">
        <f t="shared" si="8"/>
        <v>Ok</v>
      </c>
      <c r="N77" s="67" t="str">
        <f t="shared" si="9"/>
        <v>Ok</v>
      </c>
      <c r="P77"/>
    </row>
    <row r="78" spans="1:16" x14ac:dyDescent="0.25">
      <c r="A78">
        <v>32</v>
      </c>
      <c r="B78" s="24">
        <f t="shared" si="10"/>
        <v>4785</v>
      </c>
      <c r="C78" s="99">
        <v>4978</v>
      </c>
      <c r="D78" s="58">
        <f t="shared" si="1"/>
        <v>193</v>
      </c>
      <c r="E78" s="1">
        <v>17.2</v>
      </c>
      <c r="F78" s="102">
        <f t="shared" si="2"/>
        <v>0.17199999999999999</v>
      </c>
      <c r="G78" s="72">
        <f t="shared" si="3"/>
        <v>29.623487647611029</v>
      </c>
      <c r="H78" s="5">
        <f t="shared" si="4"/>
        <v>17.303787704360239</v>
      </c>
      <c r="I78" s="57">
        <f t="shared" si="0"/>
        <v>1.6949325285217629E-4</v>
      </c>
      <c r="J78" s="5">
        <f t="shared" si="5"/>
        <v>3.2712197800470022E-2</v>
      </c>
      <c r="K78" s="5">
        <f t="shared" si="6"/>
        <v>0.10798658942201218</v>
      </c>
      <c r="L78" s="5">
        <f t="shared" si="7"/>
        <v>4.3194635768804863</v>
      </c>
      <c r="M78" s="67" t="str">
        <f t="shared" si="8"/>
        <v>Ok</v>
      </c>
      <c r="N78" s="67" t="str">
        <f t="shared" si="9"/>
        <v>Ok</v>
      </c>
      <c r="P78"/>
    </row>
    <row r="79" spans="1:16" x14ac:dyDescent="0.25">
      <c r="A79">
        <v>33</v>
      </c>
      <c r="B79" s="24">
        <f t="shared" si="10"/>
        <v>4978</v>
      </c>
      <c r="C79" s="100">
        <v>5185</v>
      </c>
      <c r="D79" s="58">
        <f t="shared" si="1"/>
        <v>207</v>
      </c>
      <c r="E79" s="1">
        <v>17.2</v>
      </c>
      <c r="F79" s="102">
        <f t="shared" si="2"/>
        <v>0.17199999999999999</v>
      </c>
      <c r="G79" s="72">
        <f t="shared" si="3"/>
        <v>29.623487647611029</v>
      </c>
      <c r="H79" s="5">
        <f t="shared" si="4"/>
        <v>17.303787704360239</v>
      </c>
      <c r="I79" s="57">
        <f t="shared" ref="I79:I110" si="11">G79*(($I$38*H79)^(5/3))</f>
        <v>1.6949325285217629E-4</v>
      </c>
      <c r="J79" s="5">
        <f t="shared" si="5"/>
        <v>3.5085103340400492E-2</v>
      </c>
      <c r="K79" s="5">
        <f t="shared" si="6"/>
        <v>0.10798658942201218</v>
      </c>
      <c r="L79" s="5">
        <f t="shared" si="7"/>
        <v>4.3194635768804863</v>
      </c>
      <c r="M79" s="67" t="str">
        <f t="shared" si="8"/>
        <v>Ok</v>
      </c>
      <c r="N79" s="67" t="str">
        <f t="shared" si="9"/>
        <v>Ok</v>
      </c>
      <c r="P79"/>
    </row>
    <row r="80" spans="1:16" x14ac:dyDescent="0.25">
      <c r="A80">
        <v>34</v>
      </c>
      <c r="B80" s="24">
        <f t="shared" si="10"/>
        <v>5185</v>
      </c>
      <c r="C80" s="99">
        <v>5230</v>
      </c>
      <c r="D80" s="58">
        <f t="shared" si="1"/>
        <v>45</v>
      </c>
      <c r="E80" s="1">
        <v>9.1999999999999993</v>
      </c>
      <c r="F80" s="102">
        <f t="shared" si="2"/>
        <v>9.1999999999999998E-2</v>
      </c>
      <c r="G80" s="72">
        <f t="shared" si="3"/>
        <v>21.665358411575859</v>
      </c>
      <c r="H80" s="5">
        <f t="shared" si="4"/>
        <v>20.876772763158638</v>
      </c>
      <c r="I80" s="57">
        <f t="shared" si="11"/>
        <v>1.6949325285217656E-4</v>
      </c>
      <c r="J80" s="5">
        <f t="shared" si="5"/>
        <v>7.6271963783479451E-3</v>
      </c>
      <c r="K80" s="5">
        <f t="shared" si="6"/>
        <v>7.8976796766880825E-2</v>
      </c>
      <c r="L80" s="5">
        <f t="shared" si="7"/>
        <v>3.1590718706752323</v>
      </c>
      <c r="M80" s="67" t="str">
        <f t="shared" si="8"/>
        <v>Ok</v>
      </c>
      <c r="N80" s="67" t="str">
        <f t="shared" si="9"/>
        <v>Ok</v>
      </c>
      <c r="P80"/>
    </row>
    <row r="81" spans="1:16" x14ac:dyDescent="0.25">
      <c r="A81">
        <v>35</v>
      </c>
      <c r="B81" s="24">
        <f t="shared" si="10"/>
        <v>5230</v>
      </c>
      <c r="C81" s="99">
        <v>5494</v>
      </c>
      <c r="D81" s="58">
        <f t="shared" si="1"/>
        <v>264</v>
      </c>
      <c r="E81" s="1">
        <v>9.1999999999999993</v>
      </c>
      <c r="F81" s="102">
        <f t="shared" si="2"/>
        <v>9.1999999999999998E-2</v>
      </c>
      <c r="G81" s="72">
        <f t="shared" si="3"/>
        <v>21.665358411575859</v>
      </c>
      <c r="H81" s="5">
        <f t="shared" si="4"/>
        <v>20.876772763158638</v>
      </c>
      <c r="I81" s="57">
        <f t="shared" si="11"/>
        <v>1.6949325285217656E-4</v>
      </c>
      <c r="J81" s="5">
        <f t="shared" si="5"/>
        <v>4.4746218752974611E-2</v>
      </c>
      <c r="K81" s="5">
        <f t="shared" si="6"/>
        <v>7.8976796766880825E-2</v>
      </c>
      <c r="L81" s="5">
        <f t="shared" si="7"/>
        <v>3.1590718706752323</v>
      </c>
      <c r="M81" s="67" t="str">
        <f t="shared" si="8"/>
        <v>Ok</v>
      </c>
      <c r="N81" s="67" t="str">
        <f t="shared" si="9"/>
        <v>Ok</v>
      </c>
      <c r="P81"/>
    </row>
    <row r="82" spans="1:16" x14ac:dyDescent="0.25">
      <c r="A82">
        <v>36</v>
      </c>
      <c r="B82" s="24">
        <f t="shared" si="10"/>
        <v>5494</v>
      </c>
      <c r="C82" s="100">
        <v>5655</v>
      </c>
      <c r="D82" s="58">
        <f t="shared" si="1"/>
        <v>161</v>
      </c>
      <c r="E82" s="1">
        <v>8.5</v>
      </c>
      <c r="F82" s="102">
        <f t="shared" si="2"/>
        <v>8.5000000000000006E-2</v>
      </c>
      <c r="G82" s="72">
        <f t="shared" si="3"/>
        <v>20.824828195876073</v>
      </c>
      <c r="H82" s="5">
        <f t="shared" si="4"/>
        <v>21.378342697069726</v>
      </c>
      <c r="I82" s="57">
        <f t="shared" si="11"/>
        <v>1.6949325285217642E-4</v>
      </c>
      <c r="J82" s="5">
        <f t="shared" si="5"/>
        <v>2.7288413709200404E-2</v>
      </c>
      <c r="K82" s="5">
        <f t="shared" si="6"/>
        <v>7.5912809420782906E-2</v>
      </c>
      <c r="L82" s="5">
        <f t="shared" si="7"/>
        <v>3.0365123768313156</v>
      </c>
      <c r="M82" s="67" t="str">
        <f t="shared" si="8"/>
        <v>Ok</v>
      </c>
      <c r="N82" s="67" t="str">
        <f t="shared" si="9"/>
        <v>Ok</v>
      </c>
      <c r="P82"/>
    </row>
    <row r="83" spans="1:16" x14ac:dyDescent="0.25">
      <c r="A83">
        <v>37</v>
      </c>
      <c r="B83" s="24">
        <f t="shared" si="10"/>
        <v>5655</v>
      </c>
      <c r="C83" s="99">
        <v>6057</v>
      </c>
      <c r="D83" s="104">
        <f t="shared" si="1"/>
        <v>402</v>
      </c>
      <c r="E83" s="1">
        <v>18</v>
      </c>
      <c r="F83" s="102">
        <f t="shared" si="2"/>
        <v>0.18</v>
      </c>
      <c r="G83" s="72">
        <f t="shared" si="3"/>
        <v>30.304576336566321</v>
      </c>
      <c r="H83" s="5">
        <f t="shared" si="4"/>
        <v>17.069388409218455</v>
      </c>
      <c r="I83" s="57">
        <f t="shared" si="11"/>
        <v>1.6949325285217642E-4</v>
      </c>
      <c r="J83" s="5">
        <f t="shared" si="5"/>
        <v>6.8136287646574922E-2</v>
      </c>
      <c r="K83" s="5">
        <f t="shared" si="6"/>
        <v>0.11046936408680164</v>
      </c>
      <c r="L83" s="5">
        <f t="shared" si="7"/>
        <v>4.4187745634720645</v>
      </c>
      <c r="M83" s="67" t="str">
        <f t="shared" si="8"/>
        <v>Ok</v>
      </c>
      <c r="N83" s="67" t="str">
        <f t="shared" si="9"/>
        <v>Ok</v>
      </c>
      <c r="P83"/>
    </row>
    <row r="84" spans="1:16" x14ac:dyDescent="0.25">
      <c r="A84">
        <v>38</v>
      </c>
      <c r="B84" s="24">
        <f t="shared" si="10"/>
        <v>6057</v>
      </c>
      <c r="C84" s="100">
        <v>6255</v>
      </c>
      <c r="D84" s="58">
        <f t="shared" si="1"/>
        <v>198</v>
      </c>
      <c r="E84" s="1">
        <v>6</v>
      </c>
      <c r="F84" s="102">
        <f t="shared" si="2"/>
        <v>0.06</v>
      </c>
      <c r="G84" s="72">
        <f t="shared" si="3"/>
        <v>17.496355305594129</v>
      </c>
      <c r="H84" s="5">
        <f t="shared" si="4"/>
        <v>23.733092788093245</v>
      </c>
      <c r="I84" s="57">
        <f t="shared" si="11"/>
        <v>1.6949325285217623E-4</v>
      </c>
      <c r="J84" s="5">
        <f t="shared" si="5"/>
        <v>3.3559664064730897E-2</v>
      </c>
      <c r="K84" s="5">
        <f t="shared" si="6"/>
        <v>6.3779517092721699E-2</v>
      </c>
      <c r="L84" s="5">
        <f t="shared" si="7"/>
        <v>2.5511806837088673</v>
      </c>
      <c r="M84" s="67" t="str">
        <f t="shared" si="8"/>
        <v>Ok</v>
      </c>
      <c r="N84" s="67" t="str">
        <f t="shared" si="9"/>
        <v>Ok</v>
      </c>
      <c r="P84"/>
    </row>
    <row r="85" spans="1:16" x14ac:dyDescent="0.25">
      <c r="A85">
        <v>39</v>
      </c>
      <c r="B85" s="24">
        <f t="shared" si="10"/>
        <v>6255</v>
      </c>
      <c r="C85" s="99">
        <v>6360</v>
      </c>
      <c r="D85" s="58">
        <f t="shared" si="1"/>
        <v>105</v>
      </c>
      <c r="E85" s="1">
        <v>6</v>
      </c>
      <c r="F85" s="102">
        <f t="shared" si="2"/>
        <v>0.06</v>
      </c>
      <c r="G85" s="72">
        <f t="shared" si="3"/>
        <v>17.496355305594129</v>
      </c>
      <c r="H85" s="5">
        <f t="shared" si="4"/>
        <v>23.733092788093245</v>
      </c>
      <c r="I85" s="57">
        <f t="shared" si="11"/>
        <v>1.6949325285217623E-4</v>
      </c>
      <c r="J85" s="5">
        <f t="shared" si="5"/>
        <v>1.7796791549478504E-2</v>
      </c>
      <c r="K85" s="5">
        <f t="shared" si="6"/>
        <v>6.3779517092721699E-2</v>
      </c>
      <c r="L85" s="5">
        <f t="shared" si="7"/>
        <v>2.5511806837088673</v>
      </c>
      <c r="M85" s="67" t="str">
        <f t="shared" si="8"/>
        <v>Ok</v>
      </c>
      <c r="N85" s="67" t="str">
        <f t="shared" si="9"/>
        <v>Ok</v>
      </c>
      <c r="P85"/>
    </row>
    <row r="86" spans="1:16" x14ac:dyDescent="0.25">
      <c r="A86">
        <v>40</v>
      </c>
      <c r="B86" s="24">
        <f t="shared" si="10"/>
        <v>6360</v>
      </c>
      <c r="C86" s="100">
        <v>6505</v>
      </c>
      <c r="D86" s="58">
        <f t="shared" si="1"/>
        <v>145</v>
      </c>
      <c r="E86" s="1">
        <v>14</v>
      </c>
      <c r="F86" s="102">
        <f t="shared" si="2"/>
        <v>0.14000000000000001</v>
      </c>
      <c r="G86" s="72">
        <f t="shared" si="3"/>
        <v>26.726124191242441</v>
      </c>
      <c r="H86" s="5">
        <f t="shared" si="4"/>
        <v>18.406079842317823</v>
      </c>
      <c r="I86" s="57">
        <f t="shared" si="11"/>
        <v>1.694932528521765E-4</v>
      </c>
      <c r="J86" s="5">
        <f t="shared" si="5"/>
        <v>2.4576521663565592E-2</v>
      </c>
      <c r="K86" s="5">
        <f t="shared" si="6"/>
        <v>9.7424821621709026E-2</v>
      </c>
      <c r="L86" s="5">
        <f t="shared" si="7"/>
        <v>3.8969928648683605</v>
      </c>
      <c r="M86" s="67" t="str">
        <f t="shared" si="8"/>
        <v>Ok</v>
      </c>
      <c r="N86" s="67" t="str">
        <f t="shared" si="9"/>
        <v>Ok</v>
      </c>
      <c r="P86"/>
    </row>
    <row r="87" spans="1:16" x14ac:dyDescent="0.25">
      <c r="A87">
        <v>41</v>
      </c>
      <c r="B87" s="24">
        <f t="shared" si="10"/>
        <v>6505</v>
      </c>
      <c r="C87" s="99">
        <v>6623.4</v>
      </c>
      <c r="D87" s="58">
        <f t="shared" si="1"/>
        <v>118.39999999999964</v>
      </c>
      <c r="E87" s="1">
        <v>8.8000000000000007</v>
      </c>
      <c r="F87" s="102">
        <f t="shared" si="2"/>
        <v>8.8000000000000009E-2</v>
      </c>
      <c r="G87" s="72">
        <f t="shared" si="3"/>
        <v>21.189138534559035</v>
      </c>
      <c r="H87" s="5">
        <f t="shared" si="4"/>
        <v>21.157040170565246</v>
      </c>
      <c r="I87" s="57">
        <f t="shared" si="11"/>
        <v>1.6949325285217626E-4</v>
      </c>
      <c r="J87" s="5">
        <f t="shared" si="5"/>
        <v>2.0068001137697609E-2</v>
      </c>
      <c r="K87" s="5">
        <f t="shared" si="6"/>
        <v>7.7240831003978355E-2</v>
      </c>
      <c r="L87" s="5">
        <f t="shared" si="7"/>
        <v>3.0896332401591335</v>
      </c>
      <c r="M87" s="67" t="str">
        <f t="shared" si="8"/>
        <v>Ok</v>
      </c>
      <c r="N87" s="67" t="str">
        <f t="shared" si="9"/>
        <v>Ok</v>
      </c>
      <c r="P87"/>
    </row>
    <row r="88" spans="1:16" x14ac:dyDescent="0.25">
      <c r="A88">
        <v>42</v>
      </c>
      <c r="B88" s="24">
        <f t="shared" si="10"/>
        <v>6623.4</v>
      </c>
      <c r="C88" s="99">
        <v>6794</v>
      </c>
      <c r="D88" s="58">
        <f t="shared" si="1"/>
        <v>170.60000000000036</v>
      </c>
      <c r="E88" s="1">
        <v>17</v>
      </c>
      <c r="F88" s="102">
        <f t="shared" si="2"/>
        <v>0.17</v>
      </c>
      <c r="G88" s="72">
        <f t="shared" si="3"/>
        <v>29.450754468697575</v>
      </c>
      <c r="H88" s="5">
        <f t="shared" si="4"/>
        <v>17.364610085819713</v>
      </c>
      <c r="I88" s="57">
        <f t="shared" si="11"/>
        <v>1.6949325285217626E-4</v>
      </c>
      <c r="J88" s="5">
        <f t="shared" si="5"/>
        <v>2.8915548936581333E-2</v>
      </c>
      <c r="K88" s="5">
        <f t="shared" si="6"/>
        <v>0.10735692464071524</v>
      </c>
      <c r="L88" s="5">
        <f t="shared" si="7"/>
        <v>4.2942769856286089</v>
      </c>
      <c r="M88" s="67" t="str">
        <f t="shared" si="8"/>
        <v>Ok</v>
      </c>
      <c r="N88" s="67" t="str">
        <f t="shared" si="9"/>
        <v>Ok</v>
      </c>
      <c r="P88"/>
    </row>
    <row r="89" spans="1:16" x14ac:dyDescent="0.25">
      <c r="A89">
        <v>43</v>
      </c>
      <c r="B89" s="24">
        <f t="shared" si="10"/>
        <v>6794</v>
      </c>
      <c r="C89" s="100">
        <v>6975</v>
      </c>
      <c r="D89" s="58">
        <f t="shared" si="1"/>
        <v>181</v>
      </c>
      <c r="E89" s="1">
        <v>12.7</v>
      </c>
      <c r="F89" s="102">
        <f t="shared" si="2"/>
        <v>0.127</v>
      </c>
      <c r="G89" s="72">
        <f t="shared" si="3"/>
        <v>25.455042401722086</v>
      </c>
      <c r="H89" s="5">
        <f t="shared" si="4"/>
        <v>18.952154842980789</v>
      </c>
      <c r="I89" s="57">
        <f t="shared" si="11"/>
        <v>1.6949325285217642E-4</v>
      </c>
      <c r="J89" s="5">
        <f t="shared" si="5"/>
        <v>3.0678278766243933E-2</v>
      </c>
      <c r="K89" s="5">
        <f t="shared" si="6"/>
        <v>9.279134331694229E-2</v>
      </c>
      <c r="L89" s="5">
        <f t="shared" si="7"/>
        <v>3.7116537326776911</v>
      </c>
      <c r="M89" s="67" t="str">
        <f t="shared" si="8"/>
        <v>Ok</v>
      </c>
      <c r="N89" s="67" t="str">
        <f t="shared" si="9"/>
        <v>Ok</v>
      </c>
      <c r="P89"/>
    </row>
    <row r="90" spans="1:16" x14ac:dyDescent="0.25">
      <c r="A90">
        <v>44</v>
      </c>
      <c r="B90" s="24">
        <f t="shared" si="10"/>
        <v>6975</v>
      </c>
      <c r="C90" s="99">
        <v>7225</v>
      </c>
      <c r="D90" s="58">
        <f t="shared" si="1"/>
        <v>250</v>
      </c>
      <c r="E90" s="1">
        <v>18</v>
      </c>
      <c r="F90" s="102">
        <f t="shared" si="2"/>
        <v>0.18</v>
      </c>
      <c r="G90" s="72">
        <f t="shared" si="3"/>
        <v>30.304576336566321</v>
      </c>
      <c r="H90" s="5">
        <f t="shared" si="4"/>
        <v>17.069388409218455</v>
      </c>
      <c r="I90" s="57">
        <f t="shared" si="11"/>
        <v>1.6949325285217642E-4</v>
      </c>
      <c r="J90" s="5">
        <f t="shared" si="5"/>
        <v>4.2373313213044106E-2</v>
      </c>
      <c r="K90" s="5">
        <f t="shared" si="6"/>
        <v>0.11046936408680164</v>
      </c>
      <c r="L90" s="5">
        <f t="shared" si="7"/>
        <v>4.4187745634720645</v>
      </c>
      <c r="M90" s="67" t="str">
        <f t="shared" si="8"/>
        <v>Ok</v>
      </c>
      <c r="N90" s="67" t="str">
        <f t="shared" si="9"/>
        <v>Ok</v>
      </c>
      <c r="P90"/>
    </row>
    <row r="91" spans="1:16" x14ac:dyDescent="0.25">
      <c r="A91">
        <v>45</v>
      </c>
      <c r="B91" s="24">
        <f t="shared" si="10"/>
        <v>7225</v>
      </c>
      <c r="C91" s="100">
        <v>7300</v>
      </c>
      <c r="D91" s="58">
        <f t="shared" si="1"/>
        <v>75</v>
      </c>
      <c r="E91" s="1">
        <v>1.3</v>
      </c>
      <c r="F91" s="102">
        <f t="shared" si="2"/>
        <v>1.3000000000000001E-2</v>
      </c>
      <c r="G91" s="72">
        <f t="shared" si="3"/>
        <v>8.1441101792795578</v>
      </c>
      <c r="H91" s="5">
        <f t="shared" si="4"/>
        <v>37.550584942810133</v>
      </c>
      <c r="I91" s="57">
        <f t="shared" si="11"/>
        <v>1.6949325285217634E-4</v>
      </c>
      <c r="J91" s="5">
        <f t="shared" si="5"/>
        <v>1.2711993963913225E-2</v>
      </c>
      <c r="K91" s="5">
        <f t="shared" si="6"/>
        <v>2.9687749551947671E-2</v>
      </c>
      <c r="L91" s="5">
        <f t="shared" si="7"/>
        <v>1.1875099820779067</v>
      </c>
      <c r="M91" s="67" t="str">
        <f t="shared" si="8"/>
        <v>Ok</v>
      </c>
      <c r="N91" s="67" t="str">
        <f t="shared" si="9"/>
        <v>Ok</v>
      </c>
      <c r="P91"/>
    </row>
    <row r="92" spans="1:16" x14ac:dyDescent="0.25">
      <c r="A92">
        <v>46</v>
      </c>
      <c r="B92" s="24">
        <f t="shared" si="10"/>
        <v>7300</v>
      </c>
      <c r="C92" s="100">
        <v>7345</v>
      </c>
      <c r="D92" s="58">
        <f t="shared" si="1"/>
        <v>45</v>
      </c>
      <c r="E92" s="1">
        <v>16.2</v>
      </c>
      <c r="F92" s="102">
        <f t="shared" si="2"/>
        <v>0.16200000000000001</v>
      </c>
      <c r="G92" s="72">
        <f t="shared" si="3"/>
        <v>28.749445424997294</v>
      </c>
      <c r="H92" s="5">
        <f t="shared" si="4"/>
        <v>17.617537635304458</v>
      </c>
      <c r="I92" s="57">
        <f t="shared" si="11"/>
        <v>1.6949325285217629E-4</v>
      </c>
      <c r="J92" s="5">
        <f t="shared" si="5"/>
        <v>7.627196378347933E-3</v>
      </c>
      <c r="K92" s="5">
        <f t="shared" si="6"/>
        <v>0.10480044065540997</v>
      </c>
      <c r="L92" s="5">
        <f t="shared" si="7"/>
        <v>4.1920176262163977</v>
      </c>
      <c r="M92" s="67" t="str">
        <f t="shared" si="8"/>
        <v>Ok</v>
      </c>
      <c r="N92" s="67" t="str">
        <f t="shared" si="9"/>
        <v>Ok</v>
      </c>
      <c r="P92"/>
    </row>
    <row r="93" spans="1:16" x14ac:dyDescent="0.25">
      <c r="A93">
        <v>47</v>
      </c>
      <c r="B93" s="24">
        <f t="shared" si="10"/>
        <v>7345</v>
      </c>
      <c r="C93" s="99">
        <v>7435</v>
      </c>
      <c r="D93" s="58">
        <f t="shared" si="1"/>
        <v>90</v>
      </c>
      <c r="E93" s="1">
        <v>5.4</v>
      </c>
      <c r="F93" s="102">
        <f t="shared" si="2"/>
        <v>5.4000000000000006E-2</v>
      </c>
      <c r="G93" s="72">
        <f t="shared" si="3"/>
        <v>16.598500055174643</v>
      </c>
      <c r="H93" s="5">
        <f t="shared" si="4"/>
        <v>24.495233535760285</v>
      </c>
      <c r="I93" s="57">
        <f t="shared" si="11"/>
        <v>1.6949325285217642E-4</v>
      </c>
      <c r="J93" s="5">
        <f t="shared" si="5"/>
        <v>1.5254392756695878E-2</v>
      </c>
      <c r="K93" s="5">
        <f t="shared" si="6"/>
        <v>6.0506562623592344E-2</v>
      </c>
      <c r="L93" s="5">
        <f t="shared" si="7"/>
        <v>2.4202625049436932</v>
      </c>
      <c r="M93" s="67" t="str">
        <f t="shared" si="8"/>
        <v>Ok</v>
      </c>
      <c r="N93" s="67" t="str">
        <f t="shared" si="9"/>
        <v>Ok</v>
      </c>
      <c r="P93"/>
    </row>
    <row r="94" spans="1:16" x14ac:dyDescent="0.25">
      <c r="A94">
        <v>48</v>
      </c>
      <c r="B94" s="24">
        <f t="shared" si="10"/>
        <v>7435</v>
      </c>
      <c r="C94" s="100">
        <v>7515</v>
      </c>
      <c r="D94" s="58">
        <f t="shared" si="1"/>
        <v>80</v>
      </c>
      <c r="E94" s="1">
        <v>17.5</v>
      </c>
      <c r="F94" s="102">
        <f t="shared" si="2"/>
        <v>0.17499999999999999</v>
      </c>
      <c r="G94" s="72">
        <f t="shared" si="3"/>
        <v>29.88071523335984</v>
      </c>
      <c r="H94" s="5">
        <f t="shared" si="4"/>
        <v>17.214257603026986</v>
      </c>
      <c r="I94" s="57">
        <f t="shared" si="11"/>
        <v>1.6949325285217656E-4</v>
      </c>
      <c r="J94" s="5">
        <f t="shared" si="5"/>
        <v>1.3559460228174124E-2</v>
      </c>
      <c r="K94" s="5">
        <f t="shared" si="6"/>
        <v>0.10892426192096633</v>
      </c>
      <c r="L94" s="5">
        <f t="shared" si="7"/>
        <v>4.3569704768386526</v>
      </c>
      <c r="M94" s="67" t="str">
        <f t="shared" si="8"/>
        <v>Ok</v>
      </c>
      <c r="N94" s="67" t="str">
        <f t="shared" si="9"/>
        <v>Ok</v>
      </c>
      <c r="P94"/>
    </row>
    <row r="95" spans="1:16" x14ac:dyDescent="0.25">
      <c r="A95">
        <v>49</v>
      </c>
      <c r="B95" s="24">
        <f t="shared" si="10"/>
        <v>7515</v>
      </c>
      <c r="C95" s="99">
        <v>7615</v>
      </c>
      <c r="D95" s="58">
        <f t="shared" si="1"/>
        <v>100</v>
      </c>
      <c r="E95" s="1">
        <v>7.7</v>
      </c>
      <c r="F95" s="102">
        <f t="shared" si="2"/>
        <v>7.6999999999999999E-2</v>
      </c>
      <c r="G95" s="72">
        <f t="shared" si="3"/>
        <v>19.820624179302296</v>
      </c>
      <c r="H95" s="5">
        <f t="shared" si="4"/>
        <v>22.021783806340007</v>
      </c>
      <c r="I95" s="57">
        <f t="shared" si="11"/>
        <v>1.6949325285217623E-4</v>
      </c>
      <c r="J95" s="5">
        <f t="shared" si="5"/>
        <v>1.6949325285217625E-2</v>
      </c>
      <c r="K95" s="5">
        <f t="shared" si="6"/>
        <v>7.2252181471648316E-2</v>
      </c>
      <c r="L95" s="5">
        <f t="shared" si="7"/>
        <v>2.8900872588659321</v>
      </c>
      <c r="M95" s="67" t="str">
        <f t="shared" si="8"/>
        <v>Ok</v>
      </c>
      <c r="N95" s="67" t="str">
        <f t="shared" si="9"/>
        <v>Ok</v>
      </c>
      <c r="P95"/>
    </row>
    <row r="96" spans="1:16" x14ac:dyDescent="0.25">
      <c r="A96">
        <v>50</v>
      </c>
      <c r="B96" s="24">
        <f t="shared" si="10"/>
        <v>7615</v>
      </c>
      <c r="C96" s="100">
        <v>7690</v>
      </c>
      <c r="D96" s="58">
        <f t="shared" si="1"/>
        <v>75</v>
      </c>
      <c r="E96" s="1">
        <v>0.6</v>
      </c>
      <c r="F96" s="102">
        <f t="shared" si="2"/>
        <v>6.0000000000000001E-3</v>
      </c>
      <c r="G96" s="72">
        <f t="shared" si="3"/>
        <v>5.5328333517248813</v>
      </c>
      <c r="H96" s="5">
        <f t="shared" si="4"/>
        <v>47.353745657742145</v>
      </c>
      <c r="I96" s="57">
        <f t="shared" si="11"/>
        <v>1.6949325285217634E-4</v>
      </c>
      <c r="J96" s="5">
        <f t="shared" si="5"/>
        <v>1.2711993963913225E-2</v>
      </c>
      <c r="K96" s="5">
        <f t="shared" si="6"/>
        <v>2.0168854207864115E-2</v>
      </c>
      <c r="L96" s="5">
        <f t="shared" si="7"/>
        <v>0.80675416831456448</v>
      </c>
      <c r="M96" s="67" t="str">
        <f t="shared" si="8"/>
        <v>Ok</v>
      </c>
      <c r="N96" s="67" t="str">
        <f t="shared" si="9"/>
        <v>Ok</v>
      </c>
      <c r="P96"/>
    </row>
    <row r="97" spans="1:16" x14ac:dyDescent="0.25">
      <c r="A97">
        <v>51</v>
      </c>
      <c r="B97" s="24">
        <f t="shared" si="10"/>
        <v>7690</v>
      </c>
      <c r="C97" s="100">
        <v>7800</v>
      </c>
      <c r="D97" s="58">
        <f t="shared" si="1"/>
        <v>110</v>
      </c>
      <c r="E97" s="1">
        <v>2.6</v>
      </c>
      <c r="F97" s="102">
        <f t="shared" si="2"/>
        <v>2.6000000000000002E-2</v>
      </c>
      <c r="G97" s="72">
        <f t="shared" si="3"/>
        <v>11.517511068997928</v>
      </c>
      <c r="H97" s="5">
        <f t="shared" si="4"/>
        <v>30.500552604375905</v>
      </c>
      <c r="I97" s="57">
        <f t="shared" si="11"/>
        <v>1.6949325285217615E-4</v>
      </c>
      <c r="J97" s="5">
        <f t="shared" si="5"/>
        <v>1.8644257813739375E-2</v>
      </c>
      <c r="K97" s="5">
        <f t="shared" si="6"/>
        <v>4.1984818052700171E-2</v>
      </c>
      <c r="L97" s="5">
        <f t="shared" si="7"/>
        <v>1.6793927221080065</v>
      </c>
      <c r="M97" s="67" t="str">
        <f t="shared" si="8"/>
        <v>Ok</v>
      </c>
      <c r="N97" s="67" t="str">
        <f t="shared" si="9"/>
        <v>Ok</v>
      </c>
      <c r="P97"/>
    </row>
    <row r="98" spans="1:16" x14ac:dyDescent="0.25">
      <c r="A98">
        <v>52</v>
      </c>
      <c r="B98" s="24">
        <f t="shared" si="10"/>
        <v>7800</v>
      </c>
      <c r="C98" s="99">
        <v>7918</v>
      </c>
      <c r="D98" s="58">
        <f t="shared" si="1"/>
        <v>118</v>
      </c>
      <c r="E98" s="1">
        <v>14.4</v>
      </c>
      <c r="F98" s="102">
        <f t="shared" si="2"/>
        <v>0.14400000000000002</v>
      </c>
      <c r="G98" s="72">
        <f t="shared" si="3"/>
        <v>27.105237087157541</v>
      </c>
      <c r="H98" s="5">
        <f t="shared" si="4"/>
        <v>18.25118068782491</v>
      </c>
      <c r="I98" s="57">
        <f t="shared" si="11"/>
        <v>1.6949325285217637E-4</v>
      </c>
      <c r="J98" s="5">
        <f t="shared" si="5"/>
        <v>2.0000203836556811E-2</v>
      </c>
      <c r="K98" s="5">
        <f t="shared" si="6"/>
        <v>9.8806803011704983E-2</v>
      </c>
      <c r="L98" s="5">
        <f t="shared" si="7"/>
        <v>3.9522721204681988</v>
      </c>
      <c r="M98" s="67" t="str">
        <f t="shared" si="8"/>
        <v>Ok</v>
      </c>
      <c r="N98" s="67" t="str">
        <f t="shared" si="9"/>
        <v>Ok</v>
      </c>
      <c r="P98"/>
    </row>
    <row r="99" spans="1:16" x14ac:dyDescent="0.25">
      <c r="A99">
        <v>53</v>
      </c>
      <c r="B99" s="24">
        <f t="shared" si="10"/>
        <v>7918</v>
      </c>
      <c r="C99" s="100">
        <v>8070</v>
      </c>
      <c r="D99" s="58">
        <f t="shared" si="1"/>
        <v>152</v>
      </c>
      <c r="E99" s="1">
        <v>2.7</v>
      </c>
      <c r="F99" s="102">
        <f t="shared" si="2"/>
        <v>2.7000000000000003E-2</v>
      </c>
      <c r="G99" s="72">
        <f t="shared" si="3"/>
        <v>11.736911946539275</v>
      </c>
      <c r="H99" s="5">
        <f t="shared" si="4"/>
        <v>30.157169921130318</v>
      </c>
      <c r="I99" s="57">
        <f t="shared" si="11"/>
        <v>1.6949325285217659E-4</v>
      </c>
      <c r="J99" s="5">
        <f t="shared" si="5"/>
        <v>2.5762974433530841E-2</v>
      </c>
      <c r="K99" s="5">
        <f t="shared" si="6"/>
        <v>4.278460073743065E-2</v>
      </c>
      <c r="L99" s="5">
        <f t="shared" si="7"/>
        <v>1.7113840294972258</v>
      </c>
      <c r="M99" s="67" t="str">
        <f t="shared" si="8"/>
        <v>Ok</v>
      </c>
      <c r="N99" s="67" t="str">
        <f t="shared" si="9"/>
        <v>Ok</v>
      </c>
      <c r="P99"/>
    </row>
    <row r="100" spans="1:16" x14ac:dyDescent="0.25">
      <c r="A100">
        <v>54</v>
      </c>
      <c r="B100" s="24">
        <f t="shared" si="10"/>
        <v>8070</v>
      </c>
      <c r="C100" s="100">
        <v>8120</v>
      </c>
      <c r="D100" s="58">
        <f t="shared" si="1"/>
        <v>50</v>
      </c>
      <c r="E100" s="1">
        <v>9.9</v>
      </c>
      <c r="F100" s="102">
        <f t="shared" si="2"/>
        <v>9.9000000000000005E-2</v>
      </c>
      <c r="G100" s="72">
        <f t="shared" si="3"/>
        <v>22.474475317931816</v>
      </c>
      <c r="H100" s="5">
        <f t="shared" si="4"/>
        <v>20.422511717569453</v>
      </c>
      <c r="I100" s="57">
        <f t="shared" si="11"/>
        <v>1.6949325285217621E-4</v>
      </c>
      <c r="J100" s="5">
        <f t="shared" si="5"/>
        <v>8.4746626426088108E-3</v>
      </c>
      <c r="K100" s="5">
        <f t="shared" si="6"/>
        <v>8.1926273081095818E-2</v>
      </c>
      <c r="L100" s="5">
        <f t="shared" si="7"/>
        <v>3.2770509232438321</v>
      </c>
      <c r="M100" s="67" t="str">
        <f t="shared" si="8"/>
        <v>Ok</v>
      </c>
      <c r="N100" s="67" t="str">
        <f t="shared" si="9"/>
        <v>Ok</v>
      </c>
      <c r="P100"/>
    </row>
    <row r="101" spans="1:16" x14ac:dyDescent="0.25">
      <c r="A101">
        <v>55</v>
      </c>
      <c r="B101" s="24">
        <f t="shared" si="10"/>
        <v>8120</v>
      </c>
      <c r="C101" s="100">
        <v>8210</v>
      </c>
      <c r="D101" s="58">
        <f t="shared" si="1"/>
        <v>90</v>
      </c>
      <c r="E101" s="103">
        <v>0.5</v>
      </c>
      <c r="F101" s="102">
        <f t="shared" si="2"/>
        <v>5.0000000000000001E-3</v>
      </c>
      <c r="G101" s="72">
        <f t="shared" si="3"/>
        <v>5.0507627227610534</v>
      </c>
      <c r="H101" s="5">
        <f t="shared" si="4"/>
        <v>50.015971744101051</v>
      </c>
      <c r="I101" s="57">
        <f t="shared" si="11"/>
        <v>1.6949325285217634E-4</v>
      </c>
      <c r="J101" s="5">
        <f t="shared" si="5"/>
        <v>1.5254392756695871E-2</v>
      </c>
      <c r="K101" s="5">
        <f t="shared" si="6"/>
        <v>1.8411560681133605E-2</v>
      </c>
      <c r="L101" s="5">
        <f t="shared" si="7"/>
        <v>0.73646242724534405</v>
      </c>
      <c r="M101" s="67" t="str">
        <f t="shared" si="8"/>
        <v>Ok</v>
      </c>
      <c r="N101" s="67" t="str">
        <f t="shared" si="9"/>
        <v>Ok</v>
      </c>
      <c r="P101"/>
    </row>
    <row r="102" spans="1:16" x14ac:dyDescent="0.25">
      <c r="A102">
        <v>56</v>
      </c>
      <c r="B102" s="24">
        <f t="shared" si="10"/>
        <v>8210</v>
      </c>
      <c r="C102" s="100">
        <v>8320</v>
      </c>
      <c r="D102" s="58">
        <f t="shared" si="1"/>
        <v>110</v>
      </c>
      <c r="E102" s="1">
        <v>18</v>
      </c>
      <c r="F102" s="102">
        <f t="shared" si="2"/>
        <v>0.18</v>
      </c>
      <c r="G102" s="72">
        <f t="shared" si="3"/>
        <v>30.304576336566321</v>
      </c>
      <c r="H102" s="5">
        <f t="shared" si="4"/>
        <v>17.069388409218455</v>
      </c>
      <c r="I102" s="57">
        <f t="shared" si="11"/>
        <v>1.6949325285217642E-4</v>
      </c>
      <c r="J102" s="5">
        <f t="shared" si="5"/>
        <v>1.8644257813739407E-2</v>
      </c>
      <c r="K102" s="5">
        <f t="shared" si="6"/>
        <v>0.11046936408680164</v>
      </c>
      <c r="L102" s="5">
        <f t="shared" si="7"/>
        <v>4.4187745634720645</v>
      </c>
      <c r="M102" s="67" t="str">
        <f t="shared" si="8"/>
        <v>Ok</v>
      </c>
      <c r="N102" s="67" t="str">
        <f t="shared" si="9"/>
        <v>Ok</v>
      </c>
      <c r="P102"/>
    </row>
    <row r="103" spans="1:16" x14ac:dyDescent="0.25">
      <c r="A103">
        <v>57</v>
      </c>
      <c r="B103" s="24">
        <f t="shared" si="10"/>
        <v>8320</v>
      </c>
      <c r="C103" s="99">
        <v>8387.5</v>
      </c>
      <c r="D103" s="58">
        <f t="shared" si="1"/>
        <v>67.5</v>
      </c>
      <c r="E103" s="1">
        <v>2.7</v>
      </c>
      <c r="F103" s="102">
        <f t="shared" si="2"/>
        <v>2.7000000000000003E-2</v>
      </c>
      <c r="G103" s="72">
        <f t="shared" si="3"/>
        <v>11.736911946539275</v>
      </c>
      <c r="H103" s="5">
        <f t="shared" si="4"/>
        <v>30.157169921130318</v>
      </c>
      <c r="I103" s="57">
        <f t="shared" si="11"/>
        <v>1.6949325285217659E-4</v>
      </c>
      <c r="J103" s="5">
        <f t="shared" si="5"/>
        <v>1.1440794567521919E-2</v>
      </c>
      <c r="K103" s="5">
        <f t="shared" si="6"/>
        <v>4.278460073743065E-2</v>
      </c>
      <c r="L103" s="5">
        <f t="shared" si="7"/>
        <v>1.7113840294972258</v>
      </c>
      <c r="M103" s="67" t="str">
        <f t="shared" si="8"/>
        <v>Ok</v>
      </c>
      <c r="N103" s="67" t="str">
        <f t="shared" si="9"/>
        <v>Ok</v>
      </c>
      <c r="P103"/>
    </row>
    <row r="104" spans="1:16" x14ac:dyDescent="0.25">
      <c r="A104">
        <v>58</v>
      </c>
      <c r="B104" s="24">
        <f t="shared" si="10"/>
        <v>8387.5</v>
      </c>
      <c r="C104" s="99">
        <v>8693</v>
      </c>
      <c r="D104" s="104">
        <f t="shared" si="1"/>
        <v>305.5</v>
      </c>
      <c r="E104" s="1">
        <v>11.6</v>
      </c>
      <c r="F104" s="102">
        <f t="shared" si="2"/>
        <v>0.11599999999999999</v>
      </c>
      <c r="G104" s="72">
        <f t="shared" si="3"/>
        <v>24.327694808466283</v>
      </c>
      <c r="H104" s="5">
        <f t="shared" si="4"/>
        <v>19.474320605894903</v>
      </c>
      <c r="I104" s="57">
        <f t="shared" si="11"/>
        <v>1.6949325285217621E-4</v>
      </c>
      <c r="J104" s="5">
        <f t="shared" si="5"/>
        <v>5.1780188746339828E-2</v>
      </c>
      <c r="K104" s="5">
        <f t="shared" si="6"/>
        <v>8.8681819714017521E-2</v>
      </c>
      <c r="L104" s="5">
        <f t="shared" si="7"/>
        <v>3.5472727885607003</v>
      </c>
      <c r="M104" s="67" t="str">
        <f t="shared" si="8"/>
        <v>Ok</v>
      </c>
      <c r="N104" s="67" t="str">
        <f t="shared" si="9"/>
        <v>Ok</v>
      </c>
      <c r="P104"/>
    </row>
    <row r="105" spans="1:16" x14ac:dyDescent="0.25">
      <c r="A105">
        <v>59</v>
      </c>
      <c r="B105" s="24">
        <f t="shared" si="10"/>
        <v>8693</v>
      </c>
      <c r="C105" s="100">
        <v>8740</v>
      </c>
      <c r="D105" s="58">
        <f t="shared" si="1"/>
        <v>47</v>
      </c>
      <c r="E105" s="1">
        <v>1.1000000000000001</v>
      </c>
      <c r="F105" s="102">
        <f t="shared" si="2"/>
        <v>1.1000000000000001E-2</v>
      </c>
      <c r="G105" s="72">
        <f t="shared" si="3"/>
        <v>7.4914917726439398</v>
      </c>
      <c r="H105" s="5">
        <f t="shared" si="4"/>
        <v>39.480432964813801</v>
      </c>
      <c r="I105" s="57">
        <f t="shared" si="11"/>
        <v>1.6949325285217645E-4</v>
      </c>
      <c r="J105" s="5">
        <f t="shared" si="5"/>
        <v>7.9661828840522936E-3</v>
      </c>
      <c r="K105" s="5">
        <f t="shared" si="6"/>
        <v>2.7308757693698612E-2</v>
      </c>
      <c r="L105" s="5">
        <f t="shared" si="7"/>
        <v>1.0923503077479442</v>
      </c>
      <c r="M105" s="67" t="str">
        <f t="shared" si="8"/>
        <v>Ok</v>
      </c>
      <c r="N105" s="67" t="str">
        <f t="shared" si="9"/>
        <v>Ok</v>
      </c>
      <c r="P105"/>
    </row>
    <row r="106" spans="1:16" x14ac:dyDescent="0.25">
      <c r="A106">
        <v>60</v>
      </c>
      <c r="B106" s="24">
        <f t="shared" si="10"/>
        <v>8740</v>
      </c>
      <c r="C106" s="100">
        <v>8860</v>
      </c>
      <c r="D106" s="58">
        <f t="shared" si="1"/>
        <v>120</v>
      </c>
      <c r="E106" s="1">
        <v>13.7</v>
      </c>
      <c r="F106" s="102">
        <f t="shared" si="2"/>
        <v>0.13699999999999998</v>
      </c>
      <c r="G106" s="72">
        <f t="shared" si="3"/>
        <v>26.438222176173923</v>
      </c>
      <c r="H106" s="5">
        <f t="shared" si="4"/>
        <v>18.526080300225566</v>
      </c>
      <c r="I106" s="57">
        <f t="shared" si="11"/>
        <v>1.6949325285217634E-4</v>
      </c>
      <c r="J106" s="5">
        <f t="shared" si="5"/>
        <v>2.033919034226116E-2</v>
      </c>
      <c r="K106" s="5">
        <f t="shared" si="6"/>
        <v>9.6375331532466232E-2</v>
      </c>
      <c r="L106" s="5">
        <f t="shared" si="7"/>
        <v>3.8550132612986485</v>
      </c>
      <c r="M106" s="67" t="str">
        <f t="shared" si="8"/>
        <v>Ok</v>
      </c>
      <c r="N106" s="67" t="str">
        <f t="shared" si="9"/>
        <v>Ok</v>
      </c>
      <c r="P106"/>
    </row>
    <row r="107" spans="1:16" x14ac:dyDescent="0.25">
      <c r="A107">
        <v>61</v>
      </c>
      <c r="B107" s="24">
        <f t="shared" si="10"/>
        <v>8860</v>
      </c>
      <c r="C107" s="99">
        <v>8942.2000000000007</v>
      </c>
      <c r="D107" s="58">
        <f t="shared" si="1"/>
        <v>82.200000000000728</v>
      </c>
      <c r="E107" s="1">
        <v>8</v>
      </c>
      <c r="F107" s="102">
        <f t="shared" si="2"/>
        <v>0.08</v>
      </c>
      <c r="G107" s="72">
        <f t="shared" si="3"/>
        <v>20.203050891044214</v>
      </c>
      <c r="H107" s="5">
        <f t="shared" si="4"/>
        <v>21.770716187815097</v>
      </c>
      <c r="I107" s="57">
        <f t="shared" si="11"/>
        <v>1.6949325285217632E-4</v>
      </c>
      <c r="J107" s="5">
        <f t="shared" si="5"/>
        <v>1.3932345384449017E-2</v>
      </c>
      <c r="K107" s="5">
        <f t="shared" si="6"/>
        <v>7.3646242724534419E-2</v>
      </c>
      <c r="L107" s="5">
        <f t="shared" si="7"/>
        <v>2.9458497089813762</v>
      </c>
      <c r="M107" s="67" t="str">
        <f t="shared" si="8"/>
        <v>Ok</v>
      </c>
      <c r="N107" s="67" t="str">
        <f t="shared" si="9"/>
        <v>Ok</v>
      </c>
      <c r="P107"/>
    </row>
    <row r="108" spans="1:16" x14ac:dyDescent="0.25">
      <c r="A108">
        <v>62</v>
      </c>
      <c r="B108" s="24">
        <f t="shared" si="10"/>
        <v>8942.2000000000007</v>
      </c>
      <c r="C108" s="100">
        <v>8995</v>
      </c>
      <c r="D108" s="58">
        <f t="shared" si="1"/>
        <v>52.799999999999272</v>
      </c>
      <c r="E108" s="1">
        <v>1.2</v>
      </c>
      <c r="F108" s="102">
        <f t="shared" si="2"/>
        <v>1.2E-2</v>
      </c>
      <c r="G108" s="72">
        <f t="shared" si="3"/>
        <v>7.8246079643595161</v>
      </c>
      <c r="H108" s="5">
        <f t="shared" si="4"/>
        <v>38.463193386944738</v>
      </c>
      <c r="I108" s="57">
        <f t="shared" si="11"/>
        <v>1.6949325285217618E-4</v>
      </c>
      <c r="J108" s="5">
        <f t="shared" si="5"/>
        <v>8.9492437505947781E-3</v>
      </c>
      <c r="K108" s="5">
        <f t="shared" si="6"/>
        <v>2.8523067158287098E-2</v>
      </c>
      <c r="L108" s="5">
        <f t="shared" si="7"/>
        <v>1.1409226863314836</v>
      </c>
      <c r="M108" s="67" t="str">
        <f t="shared" si="8"/>
        <v>Ok</v>
      </c>
      <c r="N108" s="67" t="str">
        <f t="shared" si="9"/>
        <v>Ok</v>
      </c>
      <c r="P108"/>
    </row>
    <row r="109" spans="1:16" x14ac:dyDescent="0.25">
      <c r="A109">
        <v>63</v>
      </c>
      <c r="B109" s="24">
        <f t="shared" si="10"/>
        <v>8995</v>
      </c>
      <c r="C109" s="100">
        <v>9240</v>
      </c>
      <c r="D109" s="58">
        <f t="shared" si="1"/>
        <v>245</v>
      </c>
      <c r="E109" s="1">
        <v>13.7</v>
      </c>
      <c r="F109" s="102">
        <f t="shared" si="2"/>
        <v>0.13699999999999998</v>
      </c>
      <c r="G109" s="72">
        <f t="shared" si="3"/>
        <v>26.438222176173923</v>
      </c>
      <c r="H109" s="5">
        <f t="shared" si="4"/>
        <v>18.526080300225566</v>
      </c>
      <c r="I109" s="57">
        <f t="shared" si="11"/>
        <v>1.6949325285217634E-4</v>
      </c>
      <c r="J109" s="5">
        <f t="shared" si="5"/>
        <v>4.1525846948783203E-2</v>
      </c>
      <c r="K109" s="5">
        <f t="shared" si="6"/>
        <v>9.6375331532466232E-2</v>
      </c>
      <c r="L109" s="5">
        <f t="shared" si="7"/>
        <v>3.8550132612986485</v>
      </c>
      <c r="M109" s="67" t="str">
        <f t="shared" si="8"/>
        <v>Ok</v>
      </c>
      <c r="N109" s="67" t="str">
        <f t="shared" si="9"/>
        <v>Ok</v>
      </c>
      <c r="P109"/>
    </row>
    <row r="110" spans="1:16" x14ac:dyDescent="0.25">
      <c r="A110">
        <v>64</v>
      </c>
      <c r="B110" s="24">
        <f t="shared" si="10"/>
        <v>9240</v>
      </c>
      <c r="C110" s="99">
        <v>9433</v>
      </c>
      <c r="D110" s="58">
        <f t="shared" si="1"/>
        <v>193</v>
      </c>
      <c r="E110" s="1">
        <v>17.3</v>
      </c>
      <c r="F110" s="102">
        <f t="shared" si="2"/>
        <v>0.17300000000000001</v>
      </c>
      <c r="G110" s="72">
        <f t="shared" si="3"/>
        <v>29.709477632979173</v>
      </c>
      <c r="H110" s="5">
        <f t="shared" si="4"/>
        <v>17.273720229530202</v>
      </c>
      <c r="I110" s="57">
        <f t="shared" si="11"/>
        <v>1.6949325285217618E-4</v>
      </c>
      <c r="J110" s="5">
        <f t="shared" si="5"/>
        <v>3.2712197800470001E-2</v>
      </c>
      <c r="K110" s="5">
        <f t="shared" si="6"/>
        <v>0.10830004897663366</v>
      </c>
      <c r="L110" s="5">
        <f t="shared" si="7"/>
        <v>4.3320019590653454</v>
      </c>
      <c r="M110" s="67" t="str">
        <f t="shared" si="8"/>
        <v>Ok</v>
      </c>
      <c r="N110" s="67" t="str">
        <f t="shared" si="9"/>
        <v>Ok</v>
      </c>
      <c r="P110"/>
    </row>
    <row r="111" spans="1:16" x14ac:dyDescent="0.25">
      <c r="A111">
        <v>65</v>
      </c>
      <c r="B111" s="24">
        <f t="shared" si="10"/>
        <v>9433</v>
      </c>
      <c r="C111" s="99">
        <v>9555</v>
      </c>
      <c r="D111" s="58">
        <f t="shared" si="1"/>
        <v>122</v>
      </c>
      <c r="E111" s="1">
        <v>12.7</v>
      </c>
      <c r="F111" s="102">
        <f t="shared" si="2"/>
        <v>0.127</v>
      </c>
      <c r="G111" s="72">
        <f t="shared" si="3"/>
        <v>25.455042401722086</v>
      </c>
      <c r="H111" s="5">
        <f t="shared" si="4"/>
        <v>18.952154842980789</v>
      </c>
      <c r="I111" s="57">
        <f t="shared" ref="I111:I121" si="12">G111*(($I$38*H111)^(5/3))</f>
        <v>1.6949325285217642E-4</v>
      </c>
      <c r="J111" s="5">
        <f t="shared" si="5"/>
        <v>2.0678176847965524E-2</v>
      </c>
      <c r="K111" s="5">
        <f t="shared" si="6"/>
        <v>9.279134331694229E-2</v>
      </c>
      <c r="L111" s="5">
        <f t="shared" si="7"/>
        <v>3.7116537326776911</v>
      </c>
      <c r="M111" s="67" t="str">
        <f t="shared" si="8"/>
        <v>Ok</v>
      </c>
      <c r="N111" s="67" t="str">
        <f t="shared" si="9"/>
        <v>Ok</v>
      </c>
      <c r="P111"/>
    </row>
    <row r="112" spans="1:16" x14ac:dyDescent="0.25">
      <c r="A112">
        <v>66</v>
      </c>
      <c r="B112" s="24">
        <f t="shared" si="10"/>
        <v>9555</v>
      </c>
      <c r="C112" s="99">
        <v>9778</v>
      </c>
      <c r="D112" s="58">
        <f t="shared" ref="D112:D175" si="13">C112-B112</f>
        <v>223</v>
      </c>
      <c r="E112" s="1">
        <v>12.7</v>
      </c>
      <c r="F112" s="102">
        <f t="shared" ref="F112:F175" si="14">E112/100</f>
        <v>0.127</v>
      </c>
      <c r="G112" s="72">
        <f t="shared" ref="G112:G175" si="15">(F112^0.5)/$N$8</f>
        <v>25.455042401722086</v>
      </c>
      <c r="H112" s="5">
        <f t="shared" ref="H112:H175" si="16">($N$7/(G112*($I$38^(2/3))))^(3/5)</f>
        <v>18.952154842980789</v>
      </c>
      <c r="I112" s="57">
        <f t="shared" si="12"/>
        <v>1.6949325285217642E-4</v>
      </c>
      <c r="J112" s="5">
        <f t="shared" ref="J112:J175" si="17">D112*I112</f>
        <v>3.7796995386035342E-2</v>
      </c>
      <c r="K112" s="5">
        <f t="shared" ref="K112:K175" si="18">(1/$N$8)*$N$28*(($N$28/$N$29)^(2/3))*(F112^0.5)</f>
        <v>9.279134331694229E-2</v>
      </c>
      <c r="L112" s="5">
        <f t="shared" ref="L112:L175" si="19">K112/$D$28</f>
        <v>3.7116537326776911</v>
      </c>
      <c r="M112" s="67" t="str">
        <f t="shared" ref="M112:M175" si="20">IF(L112&gt;4.5,"Verificar","Ok")</f>
        <v>Ok</v>
      </c>
      <c r="N112" s="67" t="str">
        <f t="shared" ref="N112:N175" si="21">IF(K112&gt;J112,"Ok","Cambiar sección")</f>
        <v>Ok</v>
      </c>
      <c r="P112"/>
    </row>
    <row r="113" spans="1:16" x14ac:dyDescent="0.25">
      <c r="A113">
        <v>67</v>
      </c>
      <c r="B113" s="24">
        <f t="shared" si="10"/>
        <v>9778</v>
      </c>
      <c r="C113" s="100">
        <v>9910</v>
      </c>
      <c r="D113" s="58">
        <f t="shared" si="13"/>
        <v>132</v>
      </c>
      <c r="E113" s="1">
        <v>10.1</v>
      </c>
      <c r="F113" s="102">
        <f t="shared" si="14"/>
        <v>0.10099999999999999</v>
      </c>
      <c r="G113" s="72">
        <f t="shared" si="15"/>
        <v>22.700355117243863</v>
      </c>
      <c r="H113" s="5">
        <f t="shared" si="16"/>
        <v>20.300339458054104</v>
      </c>
      <c r="I113" s="57">
        <f t="shared" si="12"/>
        <v>1.6949325285217634E-4</v>
      </c>
      <c r="J113" s="5">
        <f t="shared" si="17"/>
        <v>2.2373109376487278E-2</v>
      </c>
      <c r="K113" s="5">
        <f t="shared" si="18"/>
        <v>8.2749673399019008E-2</v>
      </c>
      <c r="L113" s="5">
        <f t="shared" si="19"/>
        <v>3.3099869359607599</v>
      </c>
      <c r="M113" s="67" t="str">
        <f t="shared" si="20"/>
        <v>Ok</v>
      </c>
      <c r="N113" s="67" t="str">
        <f t="shared" si="21"/>
        <v>Ok</v>
      </c>
      <c r="P113"/>
    </row>
    <row r="114" spans="1:16" x14ac:dyDescent="0.25">
      <c r="A114">
        <v>68</v>
      </c>
      <c r="B114" s="24">
        <f t="shared" ref="B114:B177" si="22">C113</f>
        <v>9910</v>
      </c>
      <c r="C114" s="100">
        <v>10070</v>
      </c>
      <c r="D114" s="58">
        <f t="shared" si="13"/>
        <v>160</v>
      </c>
      <c r="E114" s="1">
        <v>14.2</v>
      </c>
      <c r="F114" s="102">
        <f t="shared" si="14"/>
        <v>0.14199999999999999</v>
      </c>
      <c r="G114" s="72">
        <f t="shared" si="15"/>
        <v>26.916348116309674</v>
      </c>
      <c r="H114" s="5">
        <f t="shared" si="16"/>
        <v>18.327921200772888</v>
      </c>
      <c r="I114" s="57">
        <f t="shared" si="12"/>
        <v>1.694932528521765E-4</v>
      </c>
      <c r="J114" s="5">
        <f t="shared" si="17"/>
        <v>2.7118920456348242E-2</v>
      </c>
      <c r="K114" s="5">
        <f t="shared" si="18"/>
        <v>9.8118245473040572E-2</v>
      </c>
      <c r="L114" s="5">
        <f t="shared" si="19"/>
        <v>3.9247298189216222</v>
      </c>
      <c r="M114" s="67" t="str">
        <f t="shared" si="20"/>
        <v>Ok</v>
      </c>
      <c r="N114" s="67" t="str">
        <f t="shared" si="21"/>
        <v>Ok</v>
      </c>
      <c r="P114"/>
    </row>
    <row r="115" spans="1:16" x14ac:dyDescent="0.25">
      <c r="A115">
        <v>69</v>
      </c>
      <c r="B115" s="24">
        <f t="shared" si="22"/>
        <v>10070</v>
      </c>
      <c r="C115" s="100">
        <v>10145</v>
      </c>
      <c r="D115" s="58">
        <f t="shared" si="13"/>
        <v>75</v>
      </c>
      <c r="E115" s="1">
        <v>3</v>
      </c>
      <c r="F115" s="102">
        <f t="shared" si="14"/>
        <v>0.03</v>
      </c>
      <c r="G115" s="72">
        <f t="shared" si="15"/>
        <v>12.371791482634837</v>
      </c>
      <c r="H115" s="5">
        <f t="shared" si="16"/>
        <v>29.218864597457525</v>
      </c>
      <c r="I115" s="57">
        <f t="shared" si="12"/>
        <v>1.6949325285217637E-4</v>
      </c>
      <c r="J115" s="5">
        <f t="shared" si="17"/>
        <v>1.2711993963913228E-2</v>
      </c>
      <c r="K115" s="5">
        <f t="shared" si="18"/>
        <v>4.5098929037066832E-2</v>
      </c>
      <c r="L115" s="5">
        <f t="shared" si="19"/>
        <v>1.8039571614826728</v>
      </c>
      <c r="M115" s="67" t="str">
        <f t="shared" si="20"/>
        <v>Ok</v>
      </c>
      <c r="N115" s="67" t="str">
        <f t="shared" si="21"/>
        <v>Ok</v>
      </c>
      <c r="P115"/>
    </row>
    <row r="116" spans="1:16" x14ac:dyDescent="0.25">
      <c r="A116">
        <v>70</v>
      </c>
      <c r="B116" s="24">
        <f t="shared" si="22"/>
        <v>10145</v>
      </c>
      <c r="C116" s="100">
        <v>10255</v>
      </c>
      <c r="D116" s="58">
        <f t="shared" si="13"/>
        <v>110</v>
      </c>
      <c r="E116" s="1">
        <v>15.5</v>
      </c>
      <c r="F116" s="102">
        <f t="shared" si="14"/>
        <v>0.155</v>
      </c>
      <c r="G116" s="72">
        <f t="shared" si="15"/>
        <v>28.121456692899326</v>
      </c>
      <c r="H116" s="5">
        <f t="shared" si="16"/>
        <v>17.852547728990988</v>
      </c>
      <c r="I116" s="57">
        <f t="shared" si="12"/>
        <v>1.6949325285217645E-4</v>
      </c>
      <c r="J116" s="5">
        <f t="shared" si="17"/>
        <v>1.864425781373941E-2</v>
      </c>
      <c r="K116" s="5">
        <f t="shared" si="18"/>
        <v>0.10251123142449814</v>
      </c>
      <c r="L116" s="5">
        <f t="shared" si="19"/>
        <v>4.1004492569799247</v>
      </c>
      <c r="M116" s="67" t="str">
        <f t="shared" si="20"/>
        <v>Ok</v>
      </c>
      <c r="N116" s="67" t="str">
        <f t="shared" si="21"/>
        <v>Ok</v>
      </c>
      <c r="P116"/>
    </row>
    <row r="117" spans="1:16" x14ac:dyDescent="0.25">
      <c r="A117">
        <v>71</v>
      </c>
      <c r="B117" s="24">
        <f t="shared" si="22"/>
        <v>10255</v>
      </c>
      <c r="C117" s="100">
        <v>10375</v>
      </c>
      <c r="D117" s="58">
        <f t="shared" si="13"/>
        <v>120</v>
      </c>
      <c r="E117" s="1">
        <v>9.1999999999999993</v>
      </c>
      <c r="F117" s="102">
        <f t="shared" si="14"/>
        <v>9.1999999999999998E-2</v>
      </c>
      <c r="G117" s="72">
        <f t="shared" si="15"/>
        <v>21.665358411575859</v>
      </c>
      <c r="H117" s="5">
        <f t="shared" si="16"/>
        <v>20.876772763158638</v>
      </c>
      <c r="I117" s="57">
        <f t="shared" si="12"/>
        <v>1.6949325285217656E-4</v>
      </c>
      <c r="J117" s="5">
        <f t="shared" si="17"/>
        <v>2.0339190342261188E-2</v>
      </c>
      <c r="K117" s="5">
        <f t="shared" si="18"/>
        <v>7.8976796766880825E-2</v>
      </c>
      <c r="L117" s="5">
        <f t="shared" si="19"/>
        <v>3.1590718706752323</v>
      </c>
      <c r="M117" s="67" t="str">
        <f t="shared" si="20"/>
        <v>Ok</v>
      </c>
      <c r="N117" s="67" t="str">
        <f t="shared" si="21"/>
        <v>Ok</v>
      </c>
      <c r="P117"/>
    </row>
    <row r="118" spans="1:16" x14ac:dyDescent="0.25">
      <c r="A118">
        <v>72</v>
      </c>
      <c r="B118" s="24">
        <f t="shared" si="22"/>
        <v>10375</v>
      </c>
      <c r="C118" s="99">
        <v>10468.5</v>
      </c>
      <c r="D118" s="58">
        <f t="shared" si="13"/>
        <v>93.5</v>
      </c>
      <c r="E118" s="1">
        <v>15.9</v>
      </c>
      <c r="F118" s="102">
        <f t="shared" si="14"/>
        <v>0.159</v>
      </c>
      <c r="G118" s="72">
        <f t="shared" si="15"/>
        <v>28.482002910538409</v>
      </c>
      <c r="H118" s="5">
        <f t="shared" si="16"/>
        <v>17.716607958089277</v>
      </c>
      <c r="I118" s="57">
        <f t="shared" si="12"/>
        <v>1.6949325285217629E-4</v>
      </c>
      <c r="J118" s="5">
        <f t="shared" si="17"/>
        <v>1.5847619141678482E-2</v>
      </c>
      <c r="K118" s="5">
        <f t="shared" si="18"/>
        <v>0.10382553164582914</v>
      </c>
      <c r="L118" s="5">
        <f t="shared" si="19"/>
        <v>4.1530212658331651</v>
      </c>
      <c r="M118" s="67" t="str">
        <f t="shared" si="20"/>
        <v>Ok</v>
      </c>
      <c r="N118" s="67" t="str">
        <f t="shared" si="21"/>
        <v>Ok</v>
      </c>
      <c r="P118"/>
    </row>
    <row r="119" spans="1:16" x14ac:dyDescent="0.25">
      <c r="A119">
        <v>73</v>
      </c>
      <c r="B119" s="24">
        <f t="shared" si="22"/>
        <v>10468.5</v>
      </c>
      <c r="C119" s="100">
        <v>10595</v>
      </c>
      <c r="D119" s="58">
        <f t="shared" si="13"/>
        <v>126.5</v>
      </c>
      <c r="E119" s="1">
        <v>15.9</v>
      </c>
      <c r="F119" s="102">
        <f t="shared" si="14"/>
        <v>0.159</v>
      </c>
      <c r="G119" s="72">
        <f t="shared" si="15"/>
        <v>28.482002910538409</v>
      </c>
      <c r="H119" s="5">
        <f t="shared" si="16"/>
        <v>17.716607958089277</v>
      </c>
      <c r="I119" s="57">
        <f t="shared" si="12"/>
        <v>1.6949325285217629E-4</v>
      </c>
      <c r="J119" s="5">
        <f t="shared" si="17"/>
        <v>2.14408964858003E-2</v>
      </c>
      <c r="K119" s="5">
        <f t="shared" si="18"/>
        <v>0.10382553164582914</v>
      </c>
      <c r="L119" s="5">
        <f t="shared" si="19"/>
        <v>4.1530212658331651</v>
      </c>
      <c r="M119" s="67" t="str">
        <f t="shared" si="20"/>
        <v>Ok</v>
      </c>
      <c r="N119" s="67" t="str">
        <f t="shared" si="21"/>
        <v>Ok</v>
      </c>
      <c r="P119"/>
    </row>
    <row r="120" spans="1:16" x14ac:dyDescent="0.25">
      <c r="A120">
        <v>74</v>
      </c>
      <c r="B120" s="24">
        <f t="shared" si="22"/>
        <v>10595</v>
      </c>
      <c r="C120" s="99">
        <v>10665</v>
      </c>
      <c r="D120" s="58">
        <f t="shared" si="13"/>
        <v>70</v>
      </c>
      <c r="E120" s="1">
        <v>18</v>
      </c>
      <c r="F120" s="102">
        <f t="shared" si="14"/>
        <v>0.18</v>
      </c>
      <c r="G120" s="72">
        <f t="shared" si="15"/>
        <v>30.304576336566321</v>
      </c>
      <c r="H120" s="5">
        <f t="shared" si="16"/>
        <v>17.069388409218455</v>
      </c>
      <c r="I120" s="57">
        <f t="shared" si="12"/>
        <v>1.6949325285217642E-4</v>
      </c>
      <c r="J120" s="5">
        <f t="shared" si="17"/>
        <v>1.186452769965235E-2</v>
      </c>
      <c r="K120" s="5">
        <f t="shared" si="18"/>
        <v>0.11046936408680164</v>
      </c>
      <c r="L120" s="5">
        <f t="shared" si="19"/>
        <v>4.4187745634720645</v>
      </c>
      <c r="M120" s="67" t="str">
        <f t="shared" si="20"/>
        <v>Ok</v>
      </c>
      <c r="N120" s="67" t="str">
        <f t="shared" si="21"/>
        <v>Ok</v>
      </c>
      <c r="P120"/>
    </row>
    <row r="121" spans="1:16" x14ac:dyDescent="0.25">
      <c r="A121">
        <v>75</v>
      </c>
      <c r="B121" s="24">
        <f t="shared" si="22"/>
        <v>10665</v>
      </c>
      <c r="C121" s="99">
        <v>10985.5</v>
      </c>
      <c r="D121" s="58">
        <f t="shared" si="13"/>
        <v>320.5</v>
      </c>
      <c r="E121" s="1">
        <v>18</v>
      </c>
      <c r="F121" s="102">
        <f t="shared" si="14"/>
        <v>0.18</v>
      </c>
      <c r="G121" s="72">
        <f t="shared" si="15"/>
        <v>30.304576336566321</v>
      </c>
      <c r="H121" s="5">
        <f t="shared" si="16"/>
        <v>17.069388409218455</v>
      </c>
      <c r="I121" s="57">
        <f t="shared" si="12"/>
        <v>1.6949325285217642E-4</v>
      </c>
      <c r="J121" s="5">
        <f t="shared" si="17"/>
        <v>5.4322587539122544E-2</v>
      </c>
      <c r="K121" s="5">
        <f t="shared" si="18"/>
        <v>0.11046936408680164</v>
      </c>
      <c r="L121" s="5">
        <f t="shared" si="19"/>
        <v>4.4187745634720645</v>
      </c>
      <c r="M121" s="67" t="str">
        <f t="shared" si="20"/>
        <v>Ok</v>
      </c>
      <c r="N121" s="67" t="str">
        <f t="shared" si="21"/>
        <v>Ok</v>
      </c>
      <c r="P121"/>
    </row>
    <row r="122" spans="1:16" x14ac:dyDescent="0.25">
      <c r="A122">
        <v>76</v>
      </c>
      <c r="B122" s="24">
        <f t="shared" si="22"/>
        <v>10985.5</v>
      </c>
      <c r="C122" s="99">
        <v>11095</v>
      </c>
      <c r="D122" s="58">
        <f t="shared" si="13"/>
        <v>109.5</v>
      </c>
      <c r="E122" s="1">
        <v>11.9</v>
      </c>
      <c r="F122" s="102">
        <f t="shared" si="14"/>
        <v>0.11900000000000001</v>
      </c>
      <c r="G122" s="72">
        <f t="shared" si="15"/>
        <v>24.640269015229055</v>
      </c>
      <c r="H122" s="5">
        <f t="shared" si="16"/>
        <v>19.325717369392514</v>
      </c>
      <c r="I122" s="57">
        <f>G122*(($I$39*H122)^(5/3))</f>
        <v>9.3575165161214225E-5</v>
      </c>
      <c r="J122" s="5">
        <f t="shared" si="17"/>
        <v>1.0246480585152958E-2</v>
      </c>
      <c r="K122" s="5">
        <f t="shared" si="18"/>
        <v>8.9821247418517561E-2</v>
      </c>
      <c r="L122" s="5">
        <f t="shared" si="19"/>
        <v>3.5928498967407019</v>
      </c>
      <c r="M122" s="67" t="str">
        <f t="shared" si="20"/>
        <v>Ok</v>
      </c>
      <c r="N122" s="67" t="str">
        <f t="shared" si="21"/>
        <v>Ok</v>
      </c>
      <c r="O122" s="110" t="s">
        <v>17</v>
      </c>
      <c r="P122"/>
    </row>
    <row r="123" spans="1:16" x14ac:dyDescent="0.25">
      <c r="A123">
        <v>77</v>
      </c>
      <c r="B123" s="24">
        <f t="shared" si="22"/>
        <v>11095</v>
      </c>
      <c r="C123" s="100">
        <v>11480</v>
      </c>
      <c r="D123" s="104">
        <f t="shared" si="13"/>
        <v>385</v>
      </c>
      <c r="E123" s="1">
        <v>12.7</v>
      </c>
      <c r="F123" s="102">
        <f t="shared" si="14"/>
        <v>0.127</v>
      </c>
      <c r="G123" s="72">
        <f t="shared" si="15"/>
        <v>25.455042401722086</v>
      </c>
      <c r="H123" s="5">
        <f t="shared" si="16"/>
        <v>18.952154842980789</v>
      </c>
      <c r="I123" s="57">
        <f t="shared" ref="I123:I186" si="23">G123*(($I$39*H123)^(5/3))</f>
        <v>9.3575165161214374E-5</v>
      </c>
      <c r="J123" s="5">
        <f t="shared" si="17"/>
        <v>3.6026438587067534E-2</v>
      </c>
      <c r="K123" s="5">
        <f t="shared" si="18"/>
        <v>9.279134331694229E-2</v>
      </c>
      <c r="L123" s="5">
        <f t="shared" si="19"/>
        <v>3.7116537326776911</v>
      </c>
      <c r="M123" s="67" t="str">
        <f t="shared" si="20"/>
        <v>Ok</v>
      </c>
      <c r="N123" s="67" t="str">
        <f t="shared" si="21"/>
        <v>Ok</v>
      </c>
      <c r="P123"/>
    </row>
    <row r="124" spans="1:16" x14ac:dyDescent="0.25">
      <c r="A124">
        <v>78</v>
      </c>
      <c r="B124" s="24">
        <f t="shared" si="22"/>
        <v>11480</v>
      </c>
      <c r="C124" s="99">
        <v>11531.2</v>
      </c>
      <c r="D124" s="58">
        <f t="shared" si="13"/>
        <v>51.200000000000728</v>
      </c>
      <c r="E124" s="1">
        <v>16.899999999999999</v>
      </c>
      <c r="F124" s="102">
        <f t="shared" si="14"/>
        <v>0.16899999999999998</v>
      </c>
      <c r="G124" s="72">
        <f t="shared" si="15"/>
        <v>29.364006844420661</v>
      </c>
      <c r="H124" s="5">
        <f t="shared" si="16"/>
        <v>17.395371212410378</v>
      </c>
      <c r="I124" s="57">
        <f t="shared" si="23"/>
        <v>9.357516516121432E-5</v>
      </c>
      <c r="J124" s="5">
        <f t="shared" si="17"/>
        <v>4.791048456254241E-3</v>
      </c>
      <c r="K124" s="5">
        <f t="shared" si="18"/>
        <v>0.10704070326268038</v>
      </c>
      <c r="L124" s="5">
        <f t="shared" si="19"/>
        <v>4.2816281305072144</v>
      </c>
      <c r="M124" s="67" t="str">
        <f t="shared" si="20"/>
        <v>Ok</v>
      </c>
      <c r="N124" s="67" t="str">
        <f t="shared" si="21"/>
        <v>Ok</v>
      </c>
      <c r="P124"/>
    </row>
    <row r="125" spans="1:16" x14ac:dyDescent="0.25">
      <c r="A125">
        <v>79</v>
      </c>
      <c r="B125" s="24">
        <f t="shared" si="22"/>
        <v>11531.2</v>
      </c>
      <c r="C125" s="99">
        <v>11621.9</v>
      </c>
      <c r="D125" s="58">
        <f t="shared" si="13"/>
        <v>90.699999999998909</v>
      </c>
      <c r="E125" s="1">
        <v>16.899999999999999</v>
      </c>
      <c r="F125" s="102">
        <f t="shared" si="14"/>
        <v>0.16899999999999998</v>
      </c>
      <c r="G125" s="72">
        <f t="shared" si="15"/>
        <v>29.364006844420661</v>
      </c>
      <c r="H125" s="5">
        <f t="shared" si="16"/>
        <v>17.395371212410378</v>
      </c>
      <c r="I125" s="57">
        <f t="shared" si="23"/>
        <v>9.357516516121432E-5</v>
      </c>
      <c r="J125" s="5">
        <f t="shared" si="17"/>
        <v>8.4872674801220373E-3</v>
      </c>
      <c r="K125" s="5">
        <f t="shared" si="18"/>
        <v>0.10704070326268038</v>
      </c>
      <c r="L125" s="5">
        <f t="shared" si="19"/>
        <v>4.2816281305072144</v>
      </c>
      <c r="M125" s="67" t="str">
        <f t="shared" si="20"/>
        <v>Ok</v>
      </c>
      <c r="N125" s="67" t="str">
        <f t="shared" si="21"/>
        <v>Ok</v>
      </c>
      <c r="P125"/>
    </row>
    <row r="126" spans="1:16" x14ac:dyDescent="0.25">
      <c r="A126">
        <v>80</v>
      </c>
      <c r="B126" s="24">
        <f t="shared" si="22"/>
        <v>11621.9</v>
      </c>
      <c r="C126" s="99">
        <v>11700</v>
      </c>
      <c r="D126" s="58">
        <f t="shared" si="13"/>
        <v>78.100000000000364</v>
      </c>
      <c r="E126" s="1">
        <v>16.899999999999999</v>
      </c>
      <c r="F126" s="102">
        <f t="shared" si="14"/>
        <v>0.16899999999999998</v>
      </c>
      <c r="G126" s="72">
        <f t="shared" si="15"/>
        <v>29.364006844420661</v>
      </c>
      <c r="H126" s="5">
        <f t="shared" si="16"/>
        <v>17.395371212410378</v>
      </c>
      <c r="I126" s="57">
        <f t="shared" si="23"/>
        <v>9.357516516121432E-5</v>
      </c>
      <c r="J126" s="5">
        <f t="shared" si="17"/>
        <v>7.3082203990908721E-3</v>
      </c>
      <c r="K126" s="5">
        <f t="shared" si="18"/>
        <v>0.10704070326268038</v>
      </c>
      <c r="L126" s="5">
        <f t="shared" si="19"/>
        <v>4.2816281305072144</v>
      </c>
      <c r="M126" s="67" t="str">
        <f t="shared" si="20"/>
        <v>Ok</v>
      </c>
      <c r="N126" s="67" t="str">
        <f t="shared" si="21"/>
        <v>Ok</v>
      </c>
      <c r="P126"/>
    </row>
    <row r="127" spans="1:16" x14ac:dyDescent="0.25">
      <c r="A127">
        <v>81</v>
      </c>
      <c r="B127" s="24">
        <f t="shared" si="22"/>
        <v>11700</v>
      </c>
      <c r="C127" s="100">
        <v>11835</v>
      </c>
      <c r="D127" s="58">
        <f t="shared" si="13"/>
        <v>135</v>
      </c>
      <c r="E127" s="1">
        <v>7.5</v>
      </c>
      <c r="F127" s="102">
        <f t="shared" si="14"/>
        <v>7.4999999999999997E-2</v>
      </c>
      <c r="G127" s="72">
        <f t="shared" si="15"/>
        <v>19.561519910898788</v>
      </c>
      <c r="H127" s="5">
        <f t="shared" si="16"/>
        <v>22.196338192094455</v>
      </c>
      <c r="I127" s="57">
        <f t="shared" si="23"/>
        <v>9.3575165161214306E-5</v>
      </c>
      <c r="J127" s="5">
        <f t="shared" si="17"/>
        <v>1.2632647296763931E-2</v>
      </c>
      <c r="K127" s="5">
        <f t="shared" si="18"/>
        <v>7.1307667895717741E-2</v>
      </c>
      <c r="L127" s="5">
        <f t="shared" si="19"/>
        <v>2.8523067158287092</v>
      </c>
      <c r="M127" s="67" t="str">
        <f t="shared" si="20"/>
        <v>Ok</v>
      </c>
      <c r="N127" s="67" t="str">
        <f t="shared" si="21"/>
        <v>Ok</v>
      </c>
      <c r="P127"/>
    </row>
    <row r="128" spans="1:16" x14ac:dyDescent="0.25">
      <c r="A128">
        <v>82</v>
      </c>
      <c r="B128" s="24">
        <f t="shared" si="22"/>
        <v>11835</v>
      </c>
      <c r="C128" s="99">
        <v>11990</v>
      </c>
      <c r="D128" s="58">
        <f t="shared" si="13"/>
        <v>155</v>
      </c>
      <c r="E128" s="1">
        <v>14.1</v>
      </c>
      <c r="F128" s="102">
        <f t="shared" si="14"/>
        <v>0.14099999999999999</v>
      </c>
      <c r="G128" s="72">
        <f t="shared" si="15"/>
        <v>26.821404793597981</v>
      </c>
      <c r="H128" s="5">
        <f t="shared" si="16"/>
        <v>18.366820367432393</v>
      </c>
      <c r="I128" s="57">
        <f t="shared" si="23"/>
        <v>9.3575165161214198E-5</v>
      </c>
      <c r="J128" s="5">
        <f t="shared" si="17"/>
        <v>1.45041505999882E-2</v>
      </c>
      <c r="K128" s="5">
        <f t="shared" si="18"/>
        <v>9.777214829062944E-2</v>
      </c>
      <c r="L128" s="5">
        <f t="shared" si="19"/>
        <v>3.9108859316251769</v>
      </c>
      <c r="M128" s="67" t="str">
        <f t="shared" si="20"/>
        <v>Ok</v>
      </c>
      <c r="N128" s="67" t="str">
        <f t="shared" si="21"/>
        <v>Ok</v>
      </c>
      <c r="P128"/>
    </row>
    <row r="129" spans="1:16" x14ac:dyDescent="0.25">
      <c r="A129">
        <v>83</v>
      </c>
      <c r="B129" s="24">
        <f t="shared" si="22"/>
        <v>11990</v>
      </c>
      <c r="C129" s="100">
        <v>12040</v>
      </c>
      <c r="D129" s="58">
        <f t="shared" si="13"/>
        <v>50</v>
      </c>
      <c r="E129" s="1">
        <v>14.1</v>
      </c>
      <c r="F129" s="102">
        <f t="shared" si="14"/>
        <v>0.14099999999999999</v>
      </c>
      <c r="G129" s="72">
        <f t="shared" si="15"/>
        <v>26.821404793597981</v>
      </c>
      <c r="H129" s="5">
        <f t="shared" si="16"/>
        <v>18.366820367432393</v>
      </c>
      <c r="I129" s="57">
        <f t="shared" si="23"/>
        <v>9.3575165161214198E-5</v>
      </c>
      <c r="J129" s="5">
        <f t="shared" si="17"/>
        <v>4.6787582580607098E-3</v>
      </c>
      <c r="K129" s="5">
        <f t="shared" si="18"/>
        <v>9.777214829062944E-2</v>
      </c>
      <c r="L129" s="5">
        <f t="shared" si="19"/>
        <v>3.9108859316251769</v>
      </c>
      <c r="M129" s="67" t="str">
        <f t="shared" si="20"/>
        <v>Ok</v>
      </c>
      <c r="N129" s="67" t="str">
        <f t="shared" si="21"/>
        <v>Ok</v>
      </c>
      <c r="P129"/>
    </row>
    <row r="130" spans="1:16" x14ac:dyDescent="0.25">
      <c r="A130">
        <v>84</v>
      </c>
      <c r="B130" s="24">
        <f t="shared" si="22"/>
        <v>12040</v>
      </c>
      <c r="C130" s="99">
        <v>12214</v>
      </c>
      <c r="D130" s="58">
        <f t="shared" si="13"/>
        <v>174</v>
      </c>
      <c r="E130" s="1">
        <v>15.8</v>
      </c>
      <c r="F130" s="102">
        <f t="shared" si="14"/>
        <v>0.158</v>
      </c>
      <c r="G130" s="72">
        <f t="shared" si="15"/>
        <v>28.392295591931131</v>
      </c>
      <c r="H130" s="5">
        <f t="shared" si="16"/>
        <v>17.750172836184475</v>
      </c>
      <c r="I130" s="57">
        <f t="shared" si="23"/>
        <v>9.3575165161214157E-5</v>
      </c>
      <c r="J130" s="5">
        <f t="shared" si="17"/>
        <v>1.6282078738051264E-2</v>
      </c>
      <c r="K130" s="5">
        <f t="shared" si="18"/>
        <v>0.10349852128506984</v>
      </c>
      <c r="L130" s="5">
        <f t="shared" si="19"/>
        <v>4.1399408514027929</v>
      </c>
      <c r="M130" s="67" t="str">
        <f t="shared" si="20"/>
        <v>Ok</v>
      </c>
      <c r="N130" s="67" t="str">
        <f t="shared" si="21"/>
        <v>Ok</v>
      </c>
      <c r="P130"/>
    </row>
    <row r="131" spans="1:16" x14ac:dyDescent="0.25">
      <c r="A131">
        <v>85</v>
      </c>
      <c r="B131" s="24">
        <f t="shared" si="22"/>
        <v>12214</v>
      </c>
      <c r="C131" s="99">
        <v>12316.7</v>
      </c>
      <c r="D131" s="58">
        <f t="shared" si="13"/>
        <v>102.70000000000073</v>
      </c>
      <c r="E131" s="1">
        <v>15.8</v>
      </c>
      <c r="F131" s="102">
        <f t="shared" si="14"/>
        <v>0.158</v>
      </c>
      <c r="G131" s="72">
        <f t="shared" si="15"/>
        <v>28.392295591931131</v>
      </c>
      <c r="H131" s="5">
        <f t="shared" si="16"/>
        <v>17.750172836184475</v>
      </c>
      <c r="I131" s="57">
        <f t="shared" si="23"/>
        <v>9.3575165161214157E-5</v>
      </c>
      <c r="J131" s="5">
        <f t="shared" si="17"/>
        <v>9.6101694620567626E-3</v>
      </c>
      <c r="K131" s="5">
        <f t="shared" si="18"/>
        <v>0.10349852128506984</v>
      </c>
      <c r="L131" s="5">
        <f t="shared" si="19"/>
        <v>4.1399408514027929</v>
      </c>
      <c r="M131" s="67" t="str">
        <f t="shared" si="20"/>
        <v>Ok</v>
      </c>
      <c r="N131" s="67" t="str">
        <f t="shared" si="21"/>
        <v>Ok</v>
      </c>
      <c r="P131"/>
    </row>
    <row r="132" spans="1:16" x14ac:dyDescent="0.25">
      <c r="A132">
        <v>86</v>
      </c>
      <c r="B132" s="24">
        <f t="shared" si="22"/>
        <v>12316.7</v>
      </c>
      <c r="C132" s="100">
        <v>12495</v>
      </c>
      <c r="D132" s="58">
        <f t="shared" si="13"/>
        <v>178.29999999999927</v>
      </c>
      <c r="E132" s="1">
        <v>18</v>
      </c>
      <c r="F132" s="102">
        <f t="shared" si="14"/>
        <v>0.18</v>
      </c>
      <c r="G132" s="72">
        <f t="shared" si="15"/>
        <v>30.304576336566321</v>
      </c>
      <c r="H132" s="5">
        <f t="shared" si="16"/>
        <v>17.069388409218455</v>
      </c>
      <c r="I132" s="57">
        <f t="shared" si="23"/>
        <v>9.3575165161214198E-5</v>
      </c>
      <c r="J132" s="5">
        <f t="shared" si="17"/>
        <v>1.6684451948244423E-2</v>
      </c>
      <c r="K132" s="5">
        <f t="shared" si="18"/>
        <v>0.11046936408680164</v>
      </c>
      <c r="L132" s="5">
        <f t="shared" si="19"/>
        <v>4.4187745634720645</v>
      </c>
      <c r="M132" s="67" t="str">
        <f t="shared" si="20"/>
        <v>Ok</v>
      </c>
      <c r="N132" s="67" t="str">
        <f t="shared" si="21"/>
        <v>Ok</v>
      </c>
      <c r="P132"/>
    </row>
    <row r="133" spans="1:16" x14ac:dyDescent="0.25">
      <c r="A133">
        <v>87</v>
      </c>
      <c r="B133" s="24">
        <f t="shared" si="22"/>
        <v>12495</v>
      </c>
      <c r="C133" s="99">
        <v>12600</v>
      </c>
      <c r="D133" s="58">
        <f t="shared" si="13"/>
        <v>105</v>
      </c>
      <c r="E133" s="1">
        <v>11.1</v>
      </c>
      <c r="F133" s="102">
        <f t="shared" si="14"/>
        <v>0.111</v>
      </c>
      <c r="G133" s="72">
        <f t="shared" si="15"/>
        <v>23.797616069939544</v>
      </c>
      <c r="H133" s="5">
        <f t="shared" si="16"/>
        <v>19.733440868776377</v>
      </c>
      <c r="I133" s="57">
        <f t="shared" si="23"/>
        <v>9.3575165161214347E-5</v>
      </c>
      <c r="J133" s="5">
        <f t="shared" si="17"/>
        <v>9.8253923419275059E-3</v>
      </c>
      <c r="K133" s="5">
        <f t="shared" si="18"/>
        <v>8.6749522079804228E-2</v>
      </c>
      <c r="L133" s="5">
        <f t="shared" si="19"/>
        <v>3.4699808831921684</v>
      </c>
      <c r="M133" s="67" t="str">
        <f t="shared" si="20"/>
        <v>Ok</v>
      </c>
      <c r="N133" s="67" t="str">
        <f t="shared" si="21"/>
        <v>Ok</v>
      </c>
      <c r="P133"/>
    </row>
    <row r="134" spans="1:16" x14ac:dyDescent="0.25">
      <c r="A134">
        <v>88</v>
      </c>
      <c r="B134" s="24">
        <f t="shared" si="22"/>
        <v>12600</v>
      </c>
      <c r="C134" s="100">
        <v>12715</v>
      </c>
      <c r="D134" s="58">
        <f t="shared" si="13"/>
        <v>115</v>
      </c>
      <c r="E134" s="1">
        <v>11.1</v>
      </c>
      <c r="F134" s="102">
        <f t="shared" si="14"/>
        <v>0.111</v>
      </c>
      <c r="G134" s="72">
        <f t="shared" si="15"/>
        <v>23.797616069939544</v>
      </c>
      <c r="H134" s="5">
        <f t="shared" si="16"/>
        <v>19.733440868776377</v>
      </c>
      <c r="I134" s="57">
        <f t="shared" si="23"/>
        <v>9.3575165161214347E-5</v>
      </c>
      <c r="J134" s="5">
        <f t="shared" si="17"/>
        <v>1.0761143993539651E-2</v>
      </c>
      <c r="K134" s="5">
        <f t="shared" si="18"/>
        <v>8.6749522079804228E-2</v>
      </c>
      <c r="L134" s="5">
        <f t="shared" si="19"/>
        <v>3.4699808831921684</v>
      </c>
      <c r="M134" s="67" t="str">
        <f t="shared" si="20"/>
        <v>Ok</v>
      </c>
      <c r="N134" s="67" t="str">
        <f t="shared" si="21"/>
        <v>Ok</v>
      </c>
      <c r="P134"/>
    </row>
    <row r="135" spans="1:16" x14ac:dyDescent="0.25">
      <c r="A135">
        <v>89</v>
      </c>
      <c r="B135" s="24">
        <f t="shared" si="22"/>
        <v>12715</v>
      </c>
      <c r="C135" s="100">
        <v>12780</v>
      </c>
      <c r="D135" s="58">
        <f t="shared" si="13"/>
        <v>65</v>
      </c>
      <c r="E135" s="1">
        <v>18</v>
      </c>
      <c r="F135" s="102">
        <f t="shared" si="14"/>
        <v>0.18</v>
      </c>
      <c r="G135" s="72">
        <f t="shared" si="15"/>
        <v>30.304576336566321</v>
      </c>
      <c r="H135" s="5">
        <f t="shared" si="16"/>
        <v>17.069388409218455</v>
      </c>
      <c r="I135" s="57">
        <f t="shared" si="23"/>
        <v>9.3575165161214198E-5</v>
      </c>
      <c r="J135" s="5">
        <f t="shared" si="17"/>
        <v>6.0823857354789226E-3</v>
      </c>
      <c r="K135" s="5">
        <f t="shared" si="18"/>
        <v>0.11046936408680164</v>
      </c>
      <c r="L135" s="5">
        <f t="shared" si="19"/>
        <v>4.4187745634720645</v>
      </c>
      <c r="M135" s="67" t="str">
        <f t="shared" si="20"/>
        <v>Ok</v>
      </c>
      <c r="N135" s="67" t="str">
        <f t="shared" si="21"/>
        <v>Ok</v>
      </c>
      <c r="P135"/>
    </row>
    <row r="136" spans="1:16" x14ac:dyDescent="0.25">
      <c r="A136">
        <v>90</v>
      </c>
      <c r="B136" s="24">
        <f t="shared" si="22"/>
        <v>12780</v>
      </c>
      <c r="C136" s="99">
        <v>12880.9</v>
      </c>
      <c r="D136" s="58">
        <f t="shared" si="13"/>
        <v>100.89999999999964</v>
      </c>
      <c r="E136" s="1">
        <v>9.6999999999999993</v>
      </c>
      <c r="F136" s="102">
        <f t="shared" si="14"/>
        <v>9.6999999999999989E-2</v>
      </c>
      <c r="G136" s="72">
        <f t="shared" si="15"/>
        <v>22.246302146282051</v>
      </c>
      <c r="H136" s="5">
        <f t="shared" si="16"/>
        <v>20.547935415187531</v>
      </c>
      <c r="I136" s="57">
        <f t="shared" si="23"/>
        <v>9.3575165161214293E-5</v>
      </c>
      <c r="J136" s="5">
        <f t="shared" si="17"/>
        <v>9.4417341647664889E-3</v>
      </c>
      <c r="K136" s="5">
        <f t="shared" si="18"/>
        <v>8.1094512726030119E-2</v>
      </c>
      <c r="L136" s="5">
        <f t="shared" si="19"/>
        <v>3.243780509041204</v>
      </c>
      <c r="M136" s="67" t="str">
        <f t="shared" si="20"/>
        <v>Ok</v>
      </c>
      <c r="N136" s="67" t="str">
        <f t="shared" si="21"/>
        <v>Ok</v>
      </c>
      <c r="P136"/>
    </row>
    <row r="137" spans="1:16" x14ac:dyDescent="0.25">
      <c r="A137">
        <v>91</v>
      </c>
      <c r="B137" s="24">
        <f t="shared" si="22"/>
        <v>12880.9</v>
      </c>
      <c r="C137" s="100">
        <v>12945</v>
      </c>
      <c r="D137" s="58">
        <f t="shared" si="13"/>
        <v>64.100000000000364</v>
      </c>
      <c r="E137" s="1">
        <v>7.5</v>
      </c>
      <c r="F137" s="102">
        <f t="shared" si="14"/>
        <v>7.4999999999999997E-2</v>
      </c>
      <c r="G137" s="72">
        <f t="shared" si="15"/>
        <v>19.561519910898788</v>
      </c>
      <c r="H137" s="5">
        <f t="shared" si="16"/>
        <v>22.196338192094455</v>
      </c>
      <c r="I137" s="57">
        <f t="shared" si="23"/>
        <v>9.3575165161214306E-5</v>
      </c>
      <c r="J137" s="5">
        <f t="shared" si="17"/>
        <v>5.9981680868338707E-3</v>
      </c>
      <c r="K137" s="5">
        <f t="shared" si="18"/>
        <v>7.1307667895717741E-2</v>
      </c>
      <c r="L137" s="5">
        <f t="shared" si="19"/>
        <v>2.8523067158287092</v>
      </c>
      <c r="M137" s="67" t="str">
        <f t="shared" si="20"/>
        <v>Ok</v>
      </c>
      <c r="N137" s="67" t="str">
        <f t="shared" si="21"/>
        <v>Ok</v>
      </c>
      <c r="P137"/>
    </row>
    <row r="138" spans="1:16" x14ac:dyDescent="0.25">
      <c r="A138">
        <v>92</v>
      </c>
      <c r="B138" s="24">
        <f t="shared" si="22"/>
        <v>12945</v>
      </c>
      <c r="C138" s="100">
        <v>13020</v>
      </c>
      <c r="D138" s="58">
        <f t="shared" si="13"/>
        <v>75</v>
      </c>
      <c r="E138" s="1">
        <v>13.1</v>
      </c>
      <c r="F138" s="102">
        <f t="shared" si="14"/>
        <v>0.13100000000000001</v>
      </c>
      <c r="G138" s="72">
        <f t="shared" si="15"/>
        <v>25.852801529791225</v>
      </c>
      <c r="H138" s="5">
        <f t="shared" si="16"/>
        <v>18.776659190420609</v>
      </c>
      <c r="I138" s="57">
        <f t="shared" si="23"/>
        <v>9.3575165161214225E-5</v>
      </c>
      <c r="J138" s="5">
        <f t="shared" si="17"/>
        <v>7.0181373870910665E-3</v>
      </c>
      <c r="K138" s="5">
        <f t="shared" si="18"/>
        <v>9.4241295873596226E-2</v>
      </c>
      <c r="L138" s="5">
        <f t="shared" si="19"/>
        <v>3.7696518349438484</v>
      </c>
      <c r="M138" s="67" t="str">
        <f t="shared" si="20"/>
        <v>Ok</v>
      </c>
      <c r="N138" s="67" t="str">
        <f t="shared" si="21"/>
        <v>Ok</v>
      </c>
      <c r="P138"/>
    </row>
    <row r="139" spans="1:16" x14ac:dyDescent="0.25">
      <c r="A139">
        <v>93</v>
      </c>
      <c r="B139" s="24">
        <f t="shared" si="22"/>
        <v>13020</v>
      </c>
      <c r="C139" s="100">
        <v>13105</v>
      </c>
      <c r="D139" s="58">
        <f t="shared" si="13"/>
        <v>85</v>
      </c>
      <c r="E139" s="1">
        <v>16</v>
      </c>
      <c r="F139" s="102">
        <f t="shared" si="14"/>
        <v>0.16</v>
      </c>
      <c r="G139" s="72">
        <f t="shared" si="15"/>
        <v>28.571428571428573</v>
      </c>
      <c r="H139" s="5">
        <f t="shared" si="16"/>
        <v>17.683316393944303</v>
      </c>
      <c r="I139" s="57">
        <f t="shared" si="23"/>
        <v>9.3575165161214225E-5</v>
      </c>
      <c r="J139" s="5">
        <f t="shared" si="17"/>
        <v>7.9538890387032095E-3</v>
      </c>
      <c r="K139" s="5">
        <f t="shared" si="18"/>
        <v>0.10415151527885746</v>
      </c>
      <c r="L139" s="5">
        <f t="shared" si="19"/>
        <v>4.1660606111542977</v>
      </c>
      <c r="M139" s="67" t="str">
        <f t="shared" si="20"/>
        <v>Ok</v>
      </c>
      <c r="N139" s="67" t="str">
        <f t="shared" si="21"/>
        <v>Ok</v>
      </c>
      <c r="P139"/>
    </row>
    <row r="140" spans="1:16" x14ac:dyDescent="0.25">
      <c r="A140">
        <v>94</v>
      </c>
      <c r="B140" s="24">
        <f t="shared" si="22"/>
        <v>13105</v>
      </c>
      <c r="C140" s="24">
        <v>13175</v>
      </c>
      <c r="D140" s="58">
        <f t="shared" si="13"/>
        <v>70</v>
      </c>
      <c r="E140" s="1">
        <v>17.5</v>
      </c>
      <c r="F140" s="102">
        <f t="shared" si="14"/>
        <v>0.17499999999999999</v>
      </c>
      <c r="G140" s="72">
        <f t="shared" si="15"/>
        <v>29.88071523335984</v>
      </c>
      <c r="H140" s="5">
        <f t="shared" si="16"/>
        <v>17.214257603026986</v>
      </c>
      <c r="I140" s="57">
        <f t="shared" si="23"/>
        <v>9.3575165161214265E-5</v>
      </c>
      <c r="J140" s="5">
        <f t="shared" si="17"/>
        <v>6.5502615612849984E-3</v>
      </c>
      <c r="K140" s="5">
        <f t="shared" si="18"/>
        <v>0.10892426192096633</v>
      </c>
      <c r="L140" s="5">
        <f t="shared" si="19"/>
        <v>4.3569704768386526</v>
      </c>
      <c r="M140" s="67" t="str">
        <f t="shared" si="20"/>
        <v>Ok</v>
      </c>
      <c r="N140" s="67" t="str">
        <f t="shared" si="21"/>
        <v>Ok</v>
      </c>
      <c r="P140"/>
    </row>
    <row r="141" spans="1:16" x14ac:dyDescent="0.25">
      <c r="A141">
        <v>95</v>
      </c>
      <c r="B141" s="24">
        <f t="shared" si="22"/>
        <v>13175</v>
      </c>
      <c r="C141" s="99">
        <v>13360</v>
      </c>
      <c r="D141" s="58">
        <f t="shared" si="13"/>
        <v>185</v>
      </c>
      <c r="E141" s="1">
        <v>13.7</v>
      </c>
      <c r="F141" s="102">
        <f t="shared" si="14"/>
        <v>0.13699999999999998</v>
      </c>
      <c r="G141" s="72">
        <f t="shared" si="15"/>
        <v>26.438222176173923</v>
      </c>
      <c r="H141" s="5">
        <f t="shared" si="16"/>
        <v>18.526080300225566</v>
      </c>
      <c r="I141" s="57">
        <f t="shared" si="23"/>
        <v>9.3575165161214143E-5</v>
      </c>
      <c r="J141" s="5">
        <f t="shared" si="17"/>
        <v>1.7311405554824615E-2</v>
      </c>
      <c r="K141" s="5">
        <f t="shared" si="18"/>
        <v>9.6375331532466232E-2</v>
      </c>
      <c r="L141" s="5">
        <f t="shared" si="19"/>
        <v>3.8550132612986485</v>
      </c>
      <c r="M141" s="67" t="str">
        <f t="shared" si="20"/>
        <v>Ok</v>
      </c>
      <c r="N141" s="67" t="str">
        <f t="shared" si="21"/>
        <v>Ok</v>
      </c>
      <c r="P141"/>
    </row>
    <row r="142" spans="1:16" x14ac:dyDescent="0.25">
      <c r="A142">
        <v>96</v>
      </c>
      <c r="B142" s="24">
        <f t="shared" si="22"/>
        <v>13360</v>
      </c>
      <c r="C142" s="100">
        <v>13415</v>
      </c>
      <c r="D142" s="58">
        <f t="shared" si="13"/>
        <v>55</v>
      </c>
      <c r="E142" s="1">
        <v>10.7</v>
      </c>
      <c r="F142" s="102">
        <f t="shared" si="14"/>
        <v>0.107</v>
      </c>
      <c r="G142" s="72">
        <f t="shared" si="15"/>
        <v>23.36489604828018</v>
      </c>
      <c r="H142" s="5">
        <f t="shared" si="16"/>
        <v>19.951914680555863</v>
      </c>
      <c r="I142" s="57">
        <f t="shared" si="23"/>
        <v>9.3575165161214279E-5</v>
      </c>
      <c r="J142" s="5">
        <f t="shared" si="17"/>
        <v>5.1466340838667857E-3</v>
      </c>
      <c r="K142" s="5">
        <f t="shared" si="18"/>
        <v>8.5172126471647944E-2</v>
      </c>
      <c r="L142" s="5">
        <f t="shared" si="19"/>
        <v>3.406885058865917</v>
      </c>
      <c r="M142" s="67" t="str">
        <f t="shared" si="20"/>
        <v>Ok</v>
      </c>
      <c r="N142" s="67" t="str">
        <f t="shared" si="21"/>
        <v>Ok</v>
      </c>
      <c r="P142"/>
    </row>
    <row r="143" spans="1:16" x14ac:dyDescent="0.25">
      <c r="A143">
        <v>97</v>
      </c>
      <c r="B143" s="24">
        <f t="shared" si="22"/>
        <v>13415</v>
      </c>
      <c r="C143" s="100">
        <v>13495</v>
      </c>
      <c r="D143" s="58">
        <f t="shared" si="13"/>
        <v>80</v>
      </c>
      <c r="E143" s="1">
        <v>15.8</v>
      </c>
      <c r="F143" s="102">
        <f t="shared" si="14"/>
        <v>0.158</v>
      </c>
      <c r="G143" s="72">
        <f t="shared" si="15"/>
        <v>28.392295591931131</v>
      </c>
      <c r="H143" s="5">
        <f t="shared" si="16"/>
        <v>17.750172836184475</v>
      </c>
      <c r="I143" s="57">
        <f t="shared" si="23"/>
        <v>9.3575165161214157E-5</v>
      </c>
      <c r="J143" s="5">
        <f t="shared" si="17"/>
        <v>7.4860132128971328E-3</v>
      </c>
      <c r="K143" s="5">
        <f t="shared" si="18"/>
        <v>0.10349852128506984</v>
      </c>
      <c r="L143" s="5">
        <f t="shared" si="19"/>
        <v>4.1399408514027929</v>
      </c>
      <c r="M143" s="67" t="str">
        <f t="shared" si="20"/>
        <v>Ok</v>
      </c>
      <c r="N143" s="67" t="str">
        <f t="shared" si="21"/>
        <v>Ok</v>
      </c>
      <c r="P143"/>
    </row>
    <row r="144" spans="1:16" x14ac:dyDescent="0.25">
      <c r="A144">
        <v>98</v>
      </c>
      <c r="B144" s="24">
        <f t="shared" si="22"/>
        <v>13495</v>
      </c>
      <c r="C144" s="100">
        <v>13625</v>
      </c>
      <c r="D144" s="58">
        <f t="shared" si="13"/>
        <v>130</v>
      </c>
      <c r="E144" s="1">
        <v>12</v>
      </c>
      <c r="F144" s="102">
        <f t="shared" si="14"/>
        <v>0.12</v>
      </c>
      <c r="G144" s="72">
        <f t="shared" si="15"/>
        <v>24.743582965269674</v>
      </c>
      <c r="H144" s="5">
        <f t="shared" si="16"/>
        <v>19.277261490073631</v>
      </c>
      <c r="I144" s="57">
        <f t="shared" si="23"/>
        <v>9.3575165161214333E-5</v>
      </c>
      <c r="J144" s="5">
        <f t="shared" si="17"/>
        <v>1.2164771470957863E-2</v>
      </c>
      <c r="K144" s="5">
        <f t="shared" si="18"/>
        <v>9.0197858074133663E-2</v>
      </c>
      <c r="L144" s="5">
        <f t="shared" si="19"/>
        <v>3.6079143229653456</v>
      </c>
      <c r="M144" s="67" t="str">
        <f t="shared" si="20"/>
        <v>Ok</v>
      </c>
      <c r="N144" s="67" t="str">
        <f t="shared" si="21"/>
        <v>Ok</v>
      </c>
      <c r="P144"/>
    </row>
    <row r="145" spans="1:16" x14ac:dyDescent="0.25">
      <c r="A145">
        <v>99</v>
      </c>
      <c r="B145" s="24">
        <f t="shared" si="22"/>
        <v>13625</v>
      </c>
      <c r="C145" s="100">
        <v>13755</v>
      </c>
      <c r="D145" s="58">
        <f t="shared" si="13"/>
        <v>130</v>
      </c>
      <c r="E145" s="1">
        <v>18</v>
      </c>
      <c r="F145" s="102">
        <f t="shared" si="14"/>
        <v>0.18</v>
      </c>
      <c r="G145" s="72">
        <f t="shared" si="15"/>
        <v>30.304576336566321</v>
      </c>
      <c r="H145" s="5">
        <f t="shared" si="16"/>
        <v>17.069388409218455</v>
      </c>
      <c r="I145" s="57">
        <f t="shared" si="23"/>
        <v>9.3575165161214198E-5</v>
      </c>
      <c r="J145" s="5">
        <f t="shared" si="17"/>
        <v>1.2164771470957845E-2</v>
      </c>
      <c r="K145" s="5">
        <f t="shared" si="18"/>
        <v>0.11046936408680164</v>
      </c>
      <c r="L145" s="5">
        <f t="shared" si="19"/>
        <v>4.4187745634720645</v>
      </c>
      <c r="M145" s="67" t="str">
        <f t="shared" si="20"/>
        <v>Ok</v>
      </c>
      <c r="N145" s="67" t="str">
        <f t="shared" si="21"/>
        <v>Ok</v>
      </c>
      <c r="P145"/>
    </row>
    <row r="146" spans="1:16" x14ac:dyDescent="0.25">
      <c r="A146">
        <v>100</v>
      </c>
      <c r="B146" s="24">
        <f t="shared" si="22"/>
        <v>13755</v>
      </c>
      <c r="C146" s="99">
        <v>13805.4</v>
      </c>
      <c r="D146" s="58">
        <f t="shared" si="13"/>
        <v>50.399999999999636</v>
      </c>
      <c r="E146" s="1">
        <v>11.9</v>
      </c>
      <c r="F146" s="102">
        <f t="shared" si="14"/>
        <v>0.11900000000000001</v>
      </c>
      <c r="G146" s="72">
        <f t="shared" si="15"/>
        <v>24.640269015229055</v>
      </c>
      <c r="H146" s="5">
        <f t="shared" si="16"/>
        <v>19.325717369392514</v>
      </c>
      <c r="I146" s="57">
        <f t="shared" si="23"/>
        <v>9.3575165161214225E-5</v>
      </c>
      <c r="J146" s="5">
        <f t="shared" si="17"/>
        <v>4.716188324125163E-3</v>
      </c>
      <c r="K146" s="5">
        <f t="shared" si="18"/>
        <v>8.9821247418517561E-2</v>
      </c>
      <c r="L146" s="5">
        <f t="shared" si="19"/>
        <v>3.5928498967407019</v>
      </c>
      <c r="M146" s="67" t="str">
        <f t="shared" si="20"/>
        <v>Ok</v>
      </c>
      <c r="N146" s="67" t="str">
        <f t="shared" si="21"/>
        <v>Ok</v>
      </c>
      <c r="P146"/>
    </row>
    <row r="147" spans="1:16" x14ac:dyDescent="0.25">
      <c r="A147">
        <v>101</v>
      </c>
      <c r="B147" s="24">
        <f t="shared" si="22"/>
        <v>13805.4</v>
      </c>
      <c r="C147" s="100">
        <v>13955</v>
      </c>
      <c r="D147" s="58">
        <f t="shared" si="13"/>
        <v>149.60000000000036</v>
      </c>
      <c r="E147" s="1">
        <v>11.9</v>
      </c>
      <c r="F147" s="102">
        <f t="shared" si="14"/>
        <v>0.11900000000000001</v>
      </c>
      <c r="G147" s="72">
        <f t="shared" si="15"/>
        <v>24.640269015229055</v>
      </c>
      <c r="H147" s="5">
        <f t="shared" si="16"/>
        <v>19.325717369392514</v>
      </c>
      <c r="I147" s="57">
        <f t="shared" si="23"/>
        <v>9.3575165161214225E-5</v>
      </c>
      <c r="J147" s="5">
        <f t="shared" si="17"/>
        <v>1.3998844708117682E-2</v>
      </c>
      <c r="K147" s="5">
        <f t="shared" si="18"/>
        <v>8.9821247418517561E-2</v>
      </c>
      <c r="L147" s="5">
        <f t="shared" si="19"/>
        <v>3.5928498967407019</v>
      </c>
      <c r="M147" s="67" t="str">
        <f t="shared" si="20"/>
        <v>Ok</v>
      </c>
      <c r="N147" s="67" t="str">
        <f t="shared" si="21"/>
        <v>Ok</v>
      </c>
      <c r="P147"/>
    </row>
    <row r="148" spans="1:16" x14ac:dyDescent="0.25">
      <c r="A148">
        <v>102</v>
      </c>
      <c r="B148" s="24">
        <f t="shared" si="22"/>
        <v>13955</v>
      </c>
      <c r="C148" s="99">
        <v>14070</v>
      </c>
      <c r="D148" s="58">
        <f t="shared" si="13"/>
        <v>115</v>
      </c>
      <c r="E148" s="1">
        <v>18</v>
      </c>
      <c r="F148" s="102">
        <f t="shared" si="14"/>
        <v>0.18</v>
      </c>
      <c r="G148" s="72">
        <f t="shared" si="15"/>
        <v>30.304576336566321</v>
      </c>
      <c r="H148" s="5">
        <f t="shared" si="16"/>
        <v>17.069388409218455</v>
      </c>
      <c r="I148" s="57">
        <f t="shared" si="23"/>
        <v>9.3575165161214198E-5</v>
      </c>
      <c r="J148" s="5">
        <f t="shared" si="17"/>
        <v>1.0761143993539633E-2</v>
      </c>
      <c r="K148" s="5">
        <f t="shared" si="18"/>
        <v>0.11046936408680164</v>
      </c>
      <c r="L148" s="5">
        <f t="shared" si="19"/>
        <v>4.4187745634720645</v>
      </c>
      <c r="M148" s="67" t="str">
        <f t="shared" si="20"/>
        <v>Ok</v>
      </c>
      <c r="N148" s="67" t="str">
        <f t="shared" si="21"/>
        <v>Ok</v>
      </c>
      <c r="P148"/>
    </row>
    <row r="149" spans="1:16" x14ac:dyDescent="0.25">
      <c r="A149">
        <v>103</v>
      </c>
      <c r="B149" s="24">
        <f t="shared" si="22"/>
        <v>14070</v>
      </c>
      <c r="C149" s="100">
        <v>14150</v>
      </c>
      <c r="D149" s="58">
        <f t="shared" si="13"/>
        <v>80</v>
      </c>
      <c r="E149" s="1">
        <v>5.4</v>
      </c>
      <c r="F149" s="102">
        <f t="shared" si="14"/>
        <v>5.4000000000000006E-2</v>
      </c>
      <c r="G149" s="72">
        <f t="shared" si="15"/>
        <v>16.598500055174643</v>
      </c>
      <c r="H149" s="5">
        <f t="shared" si="16"/>
        <v>24.495233535760285</v>
      </c>
      <c r="I149" s="57">
        <f t="shared" si="23"/>
        <v>9.357516516121436E-5</v>
      </c>
      <c r="J149" s="5">
        <f t="shared" si="17"/>
        <v>7.4860132128971493E-3</v>
      </c>
      <c r="K149" s="5">
        <f t="shared" si="18"/>
        <v>6.0506562623592344E-2</v>
      </c>
      <c r="L149" s="5">
        <f t="shared" si="19"/>
        <v>2.4202625049436932</v>
      </c>
      <c r="M149" s="67" t="str">
        <f t="shared" si="20"/>
        <v>Ok</v>
      </c>
      <c r="N149" s="67" t="str">
        <f t="shared" si="21"/>
        <v>Ok</v>
      </c>
      <c r="P149"/>
    </row>
    <row r="150" spans="1:16" x14ac:dyDescent="0.25">
      <c r="A150">
        <v>104</v>
      </c>
      <c r="B150" s="24">
        <f t="shared" si="22"/>
        <v>14150</v>
      </c>
      <c r="C150" s="99">
        <v>14724</v>
      </c>
      <c r="D150" s="105">
        <f t="shared" si="13"/>
        <v>574</v>
      </c>
      <c r="E150" s="1">
        <v>18</v>
      </c>
      <c r="F150" s="102">
        <f t="shared" si="14"/>
        <v>0.18</v>
      </c>
      <c r="G150" s="72">
        <f t="shared" si="15"/>
        <v>30.304576336566321</v>
      </c>
      <c r="H150" s="5">
        <f t="shared" si="16"/>
        <v>17.069388409218455</v>
      </c>
      <c r="I150" s="57">
        <f t="shared" si="23"/>
        <v>9.3575165161214198E-5</v>
      </c>
      <c r="J150" s="5">
        <f t="shared" si="17"/>
        <v>5.371214480253695E-2</v>
      </c>
      <c r="K150" s="5">
        <f t="shared" si="18"/>
        <v>0.11046936408680164</v>
      </c>
      <c r="L150" s="5">
        <f t="shared" si="19"/>
        <v>4.4187745634720645</v>
      </c>
      <c r="M150" s="67" t="str">
        <f t="shared" si="20"/>
        <v>Ok</v>
      </c>
      <c r="N150" s="67" t="str">
        <f t="shared" si="21"/>
        <v>Ok</v>
      </c>
      <c r="P150"/>
    </row>
    <row r="151" spans="1:16" x14ac:dyDescent="0.25">
      <c r="A151">
        <v>105</v>
      </c>
      <c r="B151" s="24">
        <f t="shared" si="22"/>
        <v>14724</v>
      </c>
      <c r="C151" s="100">
        <v>14805</v>
      </c>
      <c r="D151" s="58">
        <f t="shared" si="13"/>
        <v>81</v>
      </c>
      <c r="E151" s="1">
        <v>18</v>
      </c>
      <c r="F151" s="102">
        <f t="shared" si="14"/>
        <v>0.18</v>
      </c>
      <c r="G151" s="72">
        <f t="shared" si="15"/>
        <v>30.304576336566321</v>
      </c>
      <c r="H151" s="5">
        <f t="shared" si="16"/>
        <v>17.069388409218455</v>
      </c>
      <c r="I151" s="57">
        <f t="shared" si="23"/>
        <v>9.3575165161214198E-5</v>
      </c>
      <c r="J151" s="5">
        <f t="shared" si="17"/>
        <v>7.5795883780583502E-3</v>
      </c>
      <c r="K151" s="5">
        <f t="shared" si="18"/>
        <v>0.11046936408680164</v>
      </c>
      <c r="L151" s="5">
        <f t="shared" si="19"/>
        <v>4.4187745634720645</v>
      </c>
      <c r="M151" s="67" t="str">
        <f t="shared" si="20"/>
        <v>Ok</v>
      </c>
      <c r="N151" s="67" t="str">
        <f t="shared" si="21"/>
        <v>Ok</v>
      </c>
      <c r="P151"/>
    </row>
    <row r="152" spans="1:16" x14ac:dyDescent="0.25">
      <c r="A152">
        <v>106</v>
      </c>
      <c r="B152" s="24">
        <f t="shared" si="22"/>
        <v>14805</v>
      </c>
      <c r="C152" s="99">
        <v>14958.1</v>
      </c>
      <c r="D152" s="58">
        <f t="shared" si="13"/>
        <v>153.10000000000036</v>
      </c>
      <c r="E152" s="1">
        <v>13.5</v>
      </c>
      <c r="F152" s="102">
        <f t="shared" si="14"/>
        <v>0.13500000000000001</v>
      </c>
      <c r="G152" s="72">
        <f t="shared" si="15"/>
        <v>26.244532958391193</v>
      </c>
      <c r="H152" s="5">
        <f t="shared" si="16"/>
        <v>18.607995045138715</v>
      </c>
      <c r="I152" s="57">
        <f t="shared" si="23"/>
        <v>9.357516516121432E-5</v>
      </c>
      <c r="J152" s="5">
        <f t="shared" si="17"/>
        <v>1.4326357786181946E-2</v>
      </c>
      <c r="K152" s="5">
        <f t="shared" si="18"/>
        <v>9.5669275639082563E-2</v>
      </c>
      <c r="L152" s="5">
        <f t="shared" si="19"/>
        <v>3.8267710255633016</v>
      </c>
      <c r="M152" s="67" t="str">
        <f t="shared" si="20"/>
        <v>Ok</v>
      </c>
      <c r="N152" s="67" t="str">
        <f t="shared" si="21"/>
        <v>Ok</v>
      </c>
      <c r="P152"/>
    </row>
    <row r="153" spans="1:16" x14ac:dyDescent="0.25">
      <c r="A153">
        <v>107</v>
      </c>
      <c r="B153" s="24">
        <f t="shared" si="22"/>
        <v>14958.1</v>
      </c>
      <c r="C153" s="99">
        <v>15241.7</v>
      </c>
      <c r="D153" s="58">
        <f t="shared" si="13"/>
        <v>283.60000000000036</v>
      </c>
      <c r="E153" s="1">
        <v>13.5</v>
      </c>
      <c r="F153" s="102">
        <f t="shared" si="14"/>
        <v>0.13500000000000001</v>
      </c>
      <c r="G153" s="72">
        <f t="shared" si="15"/>
        <v>26.244532958391193</v>
      </c>
      <c r="H153" s="5">
        <f t="shared" si="16"/>
        <v>18.607995045138715</v>
      </c>
      <c r="I153" s="57">
        <f t="shared" si="23"/>
        <v>9.357516516121432E-5</v>
      </c>
      <c r="J153" s="5">
        <f t="shared" si="17"/>
        <v>2.6537916839720416E-2</v>
      </c>
      <c r="K153" s="5">
        <f t="shared" si="18"/>
        <v>9.5669275639082563E-2</v>
      </c>
      <c r="L153" s="5">
        <f t="shared" si="19"/>
        <v>3.8267710255633016</v>
      </c>
      <c r="M153" s="67" t="str">
        <f t="shared" si="20"/>
        <v>Ok</v>
      </c>
      <c r="N153" s="67" t="str">
        <f t="shared" si="21"/>
        <v>Ok</v>
      </c>
      <c r="P153"/>
    </row>
    <row r="154" spans="1:16" x14ac:dyDescent="0.25">
      <c r="A154">
        <v>108</v>
      </c>
      <c r="B154" s="24">
        <f t="shared" si="22"/>
        <v>15241.7</v>
      </c>
      <c r="C154" s="100">
        <v>15390</v>
      </c>
      <c r="D154" s="58">
        <f t="shared" si="13"/>
        <v>148.29999999999927</v>
      </c>
      <c r="E154" s="1">
        <v>3.9</v>
      </c>
      <c r="F154" s="102">
        <f t="shared" si="14"/>
        <v>3.9E-2</v>
      </c>
      <c r="G154" s="72">
        <f t="shared" si="15"/>
        <v>14.106012612951069</v>
      </c>
      <c r="H154" s="5">
        <f t="shared" si="16"/>
        <v>27.007247858725993</v>
      </c>
      <c r="I154" s="57">
        <f t="shared" si="23"/>
        <v>9.3575165161214415E-5</v>
      </c>
      <c r="J154" s="5">
        <f t="shared" si="17"/>
        <v>1.3877196993408029E-2</v>
      </c>
      <c r="K154" s="5">
        <f t="shared" si="18"/>
        <v>5.1420690586353533E-2</v>
      </c>
      <c r="L154" s="5">
        <f t="shared" si="19"/>
        <v>2.0568276234541409</v>
      </c>
      <c r="M154" s="67" t="str">
        <f t="shared" si="20"/>
        <v>Ok</v>
      </c>
      <c r="N154" s="67" t="str">
        <f t="shared" si="21"/>
        <v>Ok</v>
      </c>
      <c r="P154"/>
    </row>
    <row r="155" spans="1:16" x14ac:dyDescent="0.25">
      <c r="A155">
        <v>109</v>
      </c>
      <c r="B155" s="24">
        <f t="shared" si="22"/>
        <v>15390</v>
      </c>
      <c r="C155" s="100">
        <v>15465</v>
      </c>
      <c r="D155" s="58">
        <f t="shared" si="13"/>
        <v>75</v>
      </c>
      <c r="E155" s="1">
        <v>15.1</v>
      </c>
      <c r="F155" s="102">
        <f t="shared" si="14"/>
        <v>0.151</v>
      </c>
      <c r="G155" s="72">
        <f t="shared" si="15"/>
        <v>27.756227468179212</v>
      </c>
      <c r="H155" s="5">
        <f t="shared" si="16"/>
        <v>17.993126286420281</v>
      </c>
      <c r="I155" s="57">
        <f t="shared" si="23"/>
        <v>9.3575165161214428E-5</v>
      </c>
      <c r="J155" s="5">
        <f t="shared" si="17"/>
        <v>7.0181373870910821E-3</v>
      </c>
      <c r="K155" s="5">
        <f t="shared" si="18"/>
        <v>0.10117986022324287</v>
      </c>
      <c r="L155" s="5">
        <f t="shared" si="19"/>
        <v>4.0471944089297134</v>
      </c>
      <c r="M155" s="67" t="str">
        <f t="shared" si="20"/>
        <v>Ok</v>
      </c>
      <c r="N155" s="67" t="str">
        <f t="shared" si="21"/>
        <v>Ok</v>
      </c>
      <c r="P155"/>
    </row>
    <row r="156" spans="1:16" x14ac:dyDescent="0.25">
      <c r="A156">
        <v>110</v>
      </c>
      <c r="B156" s="24">
        <f t="shared" si="22"/>
        <v>15465</v>
      </c>
      <c r="C156" s="99">
        <v>15625</v>
      </c>
      <c r="D156" s="58">
        <f t="shared" si="13"/>
        <v>160</v>
      </c>
      <c r="E156" s="1">
        <v>9.9</v>
      </c>
      <c r="F156" s="102">
        <f t="shared" si="14"/>
        <v>9.9000000000000005E-2</v>
      </c>
      <c r="G156" s="72">
        <f t="shared" si="15"/>
        <v>22.474475317931816</v>
      </c>
      <c r="H156" s="5">
        <f t="shared" si="16"/>
        <v>20.422511717569453</v>
      </c>
      <c r="I156" s="57">
        <f t="shared" si="23"/>
        <v>9.3575165161214238E-5</v>
      </c>
      <c r="J156" s="5">
        <f t="shared" si="17"/>
        <v>1.4972026425794278E-2</v>
      </c>
      <c r="K156" s="5">
        <f t="shared" si="18"/>
        <v>8.1926273081095818E-2</v>
      </c>
      <c r="L156" s="5">
        <f t="shared" si="19"/>
        <v>3.2770509232438321</v>
      </c>
      <c r="M156" s="67" t="str">
        <f t="shared" si="20"/>
        <v>Ok</v>
      </c>
      <c r="N156" s="67" t="str">
        <f t="shared" si="21"/>
        <v>Ok</v>
      </c>
      <c r="P156"/>
    </row>
    <row r="157" spans="1:16" x14ac:dyDescent="0.25">
      <c r="A157">
        <v>111</v>
      </c>
      <c r="B157" s="24">
        <f t="shared" si="22"/>
        <v>15625</v>
      </c>
      <c r="C157" s="100">
        <v>15675</v>
      </c>
      <c r="D157" s="58">
        <f t="shared" si="13"/>
        <v>50</v>
      </c>
      <c r="E157" s="1">
        <v>9.9</v>
      </c>
      <c r="F157" s="102">
        <f t="shared" si="14"/>
        <v>9.9000000000000005E-2</v>
      </c>
      <c r="G157" s="72">
        <f t="shared" si="15"/>
        <v>22.474475317931816</v>
      </c>
      <c r="H157" s="5">
        <f t="shared" si="16"/>
        <v>20.422511717569453</v>
      </c>
      <c r="I157" s="57">
        <f t="shared" si="23"/>
        <v>9.3575165161214238E-5</v>
      </c>
      <c r="J157" s="5">
        <f t="shared" si="17"/>
        <v>4.6787582580607116E-3</v>
      </c>
      <c r="K157" s="5">
        <f t="shared" si="18"/>
        <v>8.1926273081095818E-2</v>
      </c>
      <c r="L157" s="5">
        <f t="shared" si="19"/>
        <v>3.2770509232438321</v>
      </c>
      <c r="M157" s="67" t="str">
        <f t="shared" si="20"/>
        <v>Ok</v>
      </c>
      <c r="N157" s="67" t="str">
        <f t="shared" si="21"/>
        <v>Ok</v>
      </c>
      <c r="P157"/>
    </row>
    <row r="158" spans="1:16" x14ac:dyDescent="0.25">
      <c r="A158">
        <v>112</v>
      </c>
      <c r="B158" s="24">
        <f t="shared" si="22"/>
        <v>15675</v>
      </c>
      <c r="C158" s="99">
        <v>16008</v>
      </c>
      <c r="D158" s="58">
        <f t="shared" si="13"/>
        <v>333</v>
      </c>
      <c r="E158" s="1">
        <v>15</v>
      </c>
      <c r="F158" s="102">
        <f t="shared" si="14"/>
        <v>0.15</v>
      </c>
      <c r="G158" s="72">
        <f t="shared" si="15"/>
        <v>27.664166758624408</v>
      </c>
      <c r="H158" s="5">
        <f t="shared" si="16"/>
        <v>18.02902888686215</v>
      </c>
      <c r="I158" s="57">
        <f t="shared" si="23"/>
        <v>9.3575165161214387E-5</v>
      </c>
      <c r="J158" s="5">
        <f t="shared" si="17"/>
        <v>3.1160529998684391E-2</v>
      </c>
      <c r="K158" s="5">
        <f t="shared" si="18"/>
        <v>0.10084427103932057</v>
      </c>
      <c r="L158" s="5">
        <f t="shared" si="19"/>
        <v>4.0337708415728217</v>
      </c>
      <c r="M158" s="67" t="str">
        <f t="shared" si="20"/>
        <v>Ok</v>
      </c>
      <c r="N158" s="67" t="str">
        <f t="shared" si="21"/>
        <v>Ok</v>
      </c>
      <c r="P158"/>
    </row>
    <row r="159" spans="1:16" x14ac:dyDescent="0.25">
      <c r="A159">
        <v>113</v>
      </c>
      <c r="B159" s="24">
        <f t="shared" si="22"/>
        <v>16008</v>
      </c>
      <c r="C159" s="99">
        <v>16270</v>
      </c>
      <c r="D159" s="58">
        <f t="shared" si="13"/>
        <v>262</v>
      </c>
      <c r="E159" s="1">
        <v>15</v>
      </c>
      <c r="F159" s="102">
        <f t="shared" si="14"/>
        <v>0.15</v>
      </c>
      <c r="G159" s="72">
        <f t="shared" si="15"/>
        <v>27.664166758624408</v>
      </c>
      <c r="H159" s="5">
        <f t="shared" si="16"/>
        <v>18.02902888686215</v>
      </c>
      <c r="I159" s="57">
        <f t="shared" si="23"/>
        <v>9.3575165161214387E-5</v>
      </c>
      <c r="J159" s="5">
        <f t="shared" si="17"/>
        <v>2.4516693272238169E-2</v>
      </c>
      <c r="K159" s="5">
        <f t="shared" si="18"/>
        <v>0.10084427103932057</v>
      </c>
      <c r="L159" s="5">
        <f t="shared" si="19"/>
        <v>4.0337708415728217</v>
      </c>
      <c r="M159" s="67" t="str">
        <f t="shared" si="20"/>
        <v>Ok</v>
      </c>
      <c r="N159" s="67" t="str">
        <f t="shared" si="21"/>
        <v>Ok</v>
      </c>
      <c r="P159"/>
    </row>
    <row r="160" spans="1:16" x14ac:dyDescent="0.25">
      <c r="A160">
        <v>114</v>
      </c>
      <c r="B160" s="24">
        <f t="shared" si="22"/>
        <v>16270</v>
      </c>
      <c r="C160" s="99">
        <v>16495.599999999999</v>
      </c>
      <c r="D160" s="58">
        <f t="shared" si="13"/>
        <v>225.59999999999854</v>
      </c>
      <c r="E160" s="1">
        <v>15</v>
      </c>
      <c r="F160" s="102">
        <f t="shared" si="14"/>
        <v>0.15</v>
      </c>
      <c r="G160" s="72">
        <f t="shared" si="15"/>
        <v>27.664166758624408</v>
      </c>
      <c r="H160" s="5">
        <f t="shared" si="16"/>
        <v>18.02902888686215</v>
      </c>
      <c r="I160" s="57">
        <f t="shared" si="23"/>
        <v>9.3575165161214387E-5</v>
      </c>
      <c r="J160" s="5">
        <f t="shared" si="17"/>
        <v>2.1110557260369828E-2</v>
      </c>
      <c r="K160" s="5">
        <f t="shared" si="18"/>
        <v>0.10084427103932057</v>
      </c>
      <c r="L160" s="5">
        <f t="shared" si="19"/>
        <v>4.0337708415728217</v>
      </c>
      <c r="M160" s="67" t="str">
        <f t="shared" si="20"/>
        <v>Ok</v>
      </c>
      <c r="N160" s="67" t="str">
        <f t="shared" si="21"/>
        <v>Ok</v>
      </c>
      <c r="P160"/>
    </row>
    <row r="161" spans="1:16" x14ac:dyDescent="0.25">
      <c r="A161">
        <v>115</v>
      </c>
      <c r="B161" s="24">
        <f t="shared" si="22"/>
        <v>16495.599999999999</v>
      </c>
      <c r="C161" s="99">
        <v>16832</v>
      </c>
      <c r="D161" s="58">
        <f t="shared" si="13"/>
        <v>336.40000000000146</v>
      </c>
      <c r="E161" s="1">
        <v>15</v>
      </c>
      <c r="F161" s="102">
        <f t="shared" si="14"/>
        <v>0.15</v>
      </c>
      <c r="G161" s="72">
        <f t="shared" si="15"/>
        <v>27.664166758624408</v>
      </c>
      <c r="H161" s="5">
        <f t="shared" si="16"/>
        <v>18.02902888686215</v>
      </c>
      <c r="I161" s="57">
        <f t="shared" si="23"/>
        <v>9.3575165161214387E-5</v>
      </c>
      <c r="J161" s="5">
        <f t="shared" si="17"/>
        <v>3.1478685560232658E-2</v>
      </c>
      <c r="K161" s="5">
        <f t="shared" si="18"/>
        <v>0.10084427103932057</v>
      </c>
      <c r="L161" s="5">
        <f t="shared" si="19"/>
        <v>4.0337708415728217</v>
      </c>
      <c r="M161" s="67" t="str">
        <f t="shared" si="20"/>
        <v>Ok</v>
      </c>
      <c r="N161" s="67" t="str">
        <f t="shared" si="21"/>
        <v>Ok</v>
      </c>
      <c r="P161"/>
    </row>
    <row r="162" spans="1:16" x14ac:dyDescent="0.25">
      <c r="A162">
        <v>116</v>
      </c>
      <c r="B162" s="24">
        <f t="shared" si="22"/>
        <v>16832</v>
      </c>
      <c r="C162" s="100">
        <v>16955</v>
      </c>
      <c r="D162" s="58">
        <f t="shared" si="13"/>
        <v>123</v>
      </c>
      <c r="E162" s="1">
        <v>15</v>
      </c>
      <c r="F162" s="102">
        <f t="shared" si="14"/>
        <v>0.15</v>
      </c>
      <c r="G162" s="72">
        <f t="shared" si="15"/>
        <v>27.664166758624408</v>
      </c>
      <c r="H162" s="5">
        <f t="shared" si="16"/>
        <v>18.02902888686215</v>
      </c>
      <c r="I162" s="57">
        <f t="shared" si="23"/>
        <v>9.3575165161214387E-5</v>
      </c>
      <c r="J162" s="5">
        <f t="shared" si="17"/>
        <v>1.1509745314829369E-2</v>
      </c>
      <c r="K162" s="5">
        <f t="shared" si="18"/>
        <v>0.10084427103932057</v>
      </c>
      <c r="L162" s="5">
        <f t="shared" si="19"/>
        <v>4.0337708415728217</v>
      </c>
      <c r="M162" s="67" t="str">
        <f t="shared" si="20"/>
        <v>Ok</v>
      </c>
      <c r="N162" s="67" t="str">
        <f t="shared" si="21"/>
        <v>Ok</v>
      </c>
      <c r="P162"/>
    </row>
    <row r="163" spans="1:16" x14ac:dyDescent="0.25">
      <c r="A163">
        <v>117</v>
      </c>
      <c r="B163" s="24">
        <f t="shared" si="22"/>
        <v>16955</v>
      </c>
      <c r="C163" s="100">
        <v>17090</v>
      </c>
      <c r="D163" s="58">
        <f t="shared" si="13"/>
        <v>135</v>
      </c>
      <c r="E163" s="1">
        <v>8.6</v>
      </c>
      <c r="F163" s="102">
        <f t="shared" si="14"/>
        <v>8.5999999999999993E-2</v>
      </c>
      <c r="G163" s="72">
        <f t="shared" si="15"/>
        <v>20.946968998021681</v>
      </c>
      <c r="H163" s="5">
        <f t="shared" si="16"/>
        <v>21.303461561929563</v>
      </c>
      <c r="I163" s="57">
        <f t="shared" si="23"/>
        <v>9.3575165161214374E-5</v>
      </c>
      <c r="J163" s="5">
        <f t="shared" si="17"/>
        <v>1.263264729676394E-2</v>
      </c>
      <c r="K163" s="5">
        <f t="shared" si="18"/>
        <v>7.635804965751232E-2</v>
      </c>
      <c r="L163" s="5">
        <f t="shared" si="19"/>
        <v>3.0543219863004922</v>
      </c>
      <c r="M163" s="67" t="str">
        <f t="shared" si="20"/>
        <v>Ok</v>
      </c>
      <c r="N163" s="67" t="str">
        <f t="shared" si="21"/>
        <v>Ok</v>
      </c>
      <c r="P163"/>
    </row>
    <row r="164" spans="1:16" x14ac:dyDescent="0.25">
      <c r="A164">
        <v>118</v>
      </c>
      <c r="B164" s="24">
        <f t="shared" si="22"/>
        <v>17090</v>
      </c>
      <c r="C164" s="99">
        <v>17228</v>
      </c>
      <c r="D164" s="58">
        <f t="shared" si="13"/>
        <v>138</v>
      </c>
      <c r="E164" s="1">
        <v>13.9</v>
      </c>
      <c r="F164" s="102">
        <f t="shared" si="14"/>
        <v>0.13900000000000001</v>
      </c>
      <c r="G164" s="72">
        <f t="shared" si="15"/>
        <v>26.630502689010356</v>
      </c>
      <c r="H164" s="5">
        <f t="shared" si="16"/>
        <v>18.44570557244797</v>
      </c>
      <c r="I164" s="57">
        <f t="shared" si="23"/>
        <v>9.3575165161214225E-5</v>
      </c>
      <c r="J164" s="5">
        <f t="shared" si="17"/>
        <v>1.2913372792247564E-2</v>
      </c>
      <c r="K164" s="5">
        <f t="shared" si="18"/>
        <v>9.7076252269434102E-2</v>
      </c>
      <c r="L164" s="5">
        <f t="shared" si="19"/>
        <v>3.8830500907773633</v>
      </c>
      <c r="M164" s="67" t="str">
        <f t="shared" si="20"/>
        <v>Ok</v>
      </c>
      <c r="N164" s="67" t="str">
        <f t="shared" si="21"/>
        <v>Ok</v>
      </c>
      <c r="P164"/>
    </row>
    <row r="165" spans="1:16" x14ac:dyDescent="0.25">
      <c r="A165">
        <v>119</v>
      </c>
      <c r="B165" s="24">
        <f t="shared" si="22"/>
        <v>17228</v>
      </c>
      <c r="C165" s="99">
        <v>17385</v>
      </c>
      <c r="D165" s="58">
        <f t="shared" si="13"/>
        <v>157</v>
      </c>
      <c r="E165" s="1">
        <v>17.600000000000001</v>
      </c>
      <c r="F165" s="102">
        <f t="shared" si="14"/>
        <v>0.17600000000000002</v>
      </c>
      <c r="G165" s="72">
        <f t="shared" si="15"/>
        <v>29.965967090575759</v>
      </c>
      <c r="H165" s="5">
        <f t="shared" si="16"/>
        <v>17.184856578346761</v>
      </c>
      <c r="I165" s="57">
        <f t="shared" si="23"/>
        <v>9.3575165161214184E-5</v>
      </c>
      <c r="J165" s="5">
        <f t="shared" si="17"/>
        <v>1.4691300930310626E-2</v>
      </c>
      <c r="K165" s="5">
        <f t="shared" si="18"/>
        <v>0.10923503077479445</v>
      </c>
      <c r="L165" s="5">
        <f t="shared" si="19"/>
        <v>4.3694012309917767</v>
      </c>
      <c r="M165" s="67" t="str">
        <f t="shared" si="20"/>
        <v>Ok</v>
      </c>
      <c r="N165" s="67" t="str">
        <f t="shared" si="21"/>
        <v>Ok</v>
      </c>
      <c r="P165"/>
    </row>
    <row r="166" spans="1:16" x14ac:dyDescent="0.25">
      <c r="A166">
        <v>120</v>
      </c>
      <c r="B166" s="24">
        <f t="shared" si="22"/>
        <v>17385</v>
      </c>
      <c r="C166" s="100">
        <v>17465</v>
      </c>
      <c r="D166" s="58">
        <f t="shared" si="13"/>
        <v>80</v>
      </c>
      <c r="E166" s="1">
        <v>17.600000000000001</v>
      </c>
      <c r="F166" s="102">
        <f t="shared" si="14"/>
        <v>0.17600000000000002</v>
      </c>
      <c r="G166" s="72">
        <f t="shared" si="15"/>
        <v>29.965967090575759</v>
      </c>
      <c r="H166" s="5">
        <f t="shared" si="16"/>
        <v>17.184856578346761</v>
      </c>
      <c r="I166" s="57">
        <f t="shared" si="23"/>
        <v>9.3575165161214184E-5</v>
      </c>
      <c r="J166" s="5">
        <f t="shared" si="17"/>
        <v>7.4860132128971345E-3</v>
      </c>
      <c r="K166" s="5">
        <f t="shared" si="18"/>
        <v>0.10923503077479445</v>
      </c>
      <c r="L166" s="5">
        <f t="shared" si="19"/>
        <v>4.3694012309917767</v>
      </c>
      <c r="M166" s="67" t="str">
        <f t="shared" si="20"/>
        <v>Ok</v>
      </c>
      <c r="N166" s="67" t="str">
        <f t="shared" si="21"/>
        <v>Ok</v>
      </c>
      <c r="P166"/>
    </row>
    <row r="167" spans="1:16" x14ac:dyDescent="0.25">
      <c r="A167">
        <v>121</v>
      </c>
      <c r="B167" s="24">
        <f t="shared" si="22"/>
        <v>17465</v>
      </c>
      <c r="C167" s="100">
        <v>17530</v>
      </c>
      <c r="D167" s="58">
        <f t="shared" si="13"/>
        <v>65</v>
      </c>
      <c r="E167" s="1">
        <v>13.1</v>
      </c>
      <c r="F167" s="102">
        <f t="shared" si="14"/>
        <v>0.13100000000000001</v>
      </c>
      <c r="G167" s="72">
        <f t="shared" si="15"/>
        <v>25.852801529791225</v>
      </c>
      <c r="H167" s="5">
        <f t="shared" si="16"/>
        <v>18.776659190420609</v>
      </c>
      <c r="I167" s="57">
        <f t="shared" si="23"/>
        <v>9.3575165161214225E-5</v>
      </c>
      <c r="J167" s="5">
        <f t="shared" si="17"/>
        <v>6.0823857354789243E-3</v>
      </c>
      <c r="K167" s="5">
        <f t="shared" si="18"/>
        <v>9.4241295873596226E-2</v>
      </c>
      <c r="L167" s="5">
        <f t="shared" si="19"/>
        <v>3.7696518349438484</v>
      </c>
      <c r="M167" s="67" t="str">
        <f t="shared" si="20"/>
        <v>Ok</v>
      </c>
      <c r="N167" s="67" t="str">
        <f t="shared" si="21"/>
        <v>Ok</v>
      </c>
      <c r="P167"/>
    </row>
    <row r="168" spans="1:16" x14ac:dyDescent="0.25">
      <c r="A168">
        <v>122</v>
      </c>
      <c r="B168" s="24">
        <f t="shared" si="22"/>
        <v>17530</v>
      </c>
      <c r="C168" s="99">
        <v>17585</v>
      </c>
      <c r="D168" s="58">
        <f t="shared" si="13"/>
        <v>55</v>
      </c>
      <c r="E168" s="1">
        <v>18</v>
      </c>
      <c r="F168" s="102">
        <f t="shared" si="14"/>
        <v>0.18</v>
      </c>
      <c r="G168" s="72">
        <f t="shared" si="15"/>
        <v>30.304576336566321</v>
      </c>
      <c r="H168" s="5">
        <f t="shared" si="16"/>
        <v>17.069388409218455</v>
      </c>
      <c r="I168" s="57">
        <f t="shared" si="23"/>
        <v>9.3575165161214198E-5</v>
      </c>
      <c r="J168" s="5">
        <f t="shared" si="17"/>
        <v>5.1466340838667805E-3</v>
      </c>
      <c r="K168" s="5">
        <f t="shared" si="18"/>
        <v>0.11046936408680164</v>
      </c>
      <c r="L168" s="5">
        <f t="shared" si="19"/>
        <v>4.4187745634720645</v>
      </c>
      <c r="M168" s="67" t="str">
        <f t="shared" si="20"/>
        <v>Ok</v>
      </c>
      <c r="N168" s="67" t="str">
        <f t="shared" si="21"/>
        <v>Ok</v>
      </c>
      <c r="P168"/>
    </row>
    <row r="169" spans="1:16" x14ac:dyDescent="0.25">
      <c r="A169">
        <v>123</v>
      </c>
      <c r="B169" s="24">
        <f t="shared" si="22"/>
        <v>17585</v>
      </c>
      <c r="C169" s="100">
        <v>17770</v>
      </c>
      <c r="D169" s="58">
        <f t="shared" si="13"/>
        <v>185</v>
      </c>
      <c r="E169" s="1">
        <v>9.3000000000000007</v>
      </c>
      <c r="F169" s="102">
        <f t="shared" si="14"/>
        <v>9.3000000000000013E-2</v>
      </c>
      <c r="G169" s="72">
        <f t="shared" si="15"/>
        <v>21.78278668853844</v>
      </c>
      <c r="H169" s="5">
        <f t="shared" si="16"/>
        <v>20.809173332519425</v>
      </c>
      <c r="I169" s="57">
        <f t="shared" si="23"/>
        <v>9.3575165161214293E-5</v>
      </c>
      <c r="J169" s="5">
        <f t="shared" si="17"/>
        <v>1.7311405554824643E-2</v>
      </c>
      <c r="K169" s="5">
        <f t="shared" si="18"/>
        <v>7.9404858421259147E-2</v>
      </c>
      <c r="L169" s="5">
        <f t="shared" si="19"/>
        <v>3.1761943368503651</v>
      </c>
      <c r="M169" s="67" t="str">
        <f t="shared" si="20"/>
        <v>Ok</v>
      </c>
      <c r="N169" s="67" t="str">
        <f t="shared" si="21"/>
        <v>Ok</v>
      </c>
      <c r="P169"/>
    </row>
    <row r="170" spans="1:16" x14ac:dyDescent="0.25">
      <c r="A170">
        <v>124</v>
      </c>
      <c r="B170" s="24">
        <f t="shared" si="22"/>
        <v>17770</v>
      </c>
      <c r="C170" s="100">
        <v>17865</v>
      </c>
      <c r="D170" s="58">
        <f t="shared" si="13"/>
        <v>95</v>
      </c>
      <c r="E170" s="1">
        <v>15</v>
      </c>
      <c r="F170" s="102">
        <f t="shared" si="14"/>
        <v>0.15</v>
      </c>
      <c r="G170" s="72">
        <f t="shared" si="15"/>
        <v>27.664166758624408</v>
      </c>
      <c r="H170" s="5">
        <f t="shared" si="16"/>
        <v>18.02902888686215</v>
      </c>
      <c r="I170" s="57">
        <f t="shared" si="23"/>
        <v>9.3575165161214387E-5</v>
      </c>
      <c r="J170" s="5">
        <f t="shared" si="17"/>
        <v>8.8896406903153664E-3</v>
      </c>
      <c r="K170" s="5">
        <f t="shared" si="18"/>
        <v>0.10084427103932057</v>
      </c>
      <c r="L170" s="5">
        <f t="shared" si="19"/>
        <v>4.0337708415728217</v>
      </c>
      <c r="M170" s="67" t="str">
        <f t="shared" si="20"/>
        <v>Ok</v>
      </c>
      <c r="N170" s="67" t="str">
        <f t="shared" si="21"/>
        <v>Ok</v>
      </c>
      <c r="P170"/>
    </row>
    <row r="171" spans="1:16" x14ac:dyDescent="0.25">
      <c r="A171">
        <v>125</v>
      </c>
      <c r="B171" s="24">
        <f t="shared" si="22"/>
        <v>17865</v>
      </c>
      <c r="C171" s="99">
        <v>18037.5</v>
      </c>
      <c r="D171" s="58">
        <f t="shared" si="13"/>
        <v>172.5</v>
      </c>
      <c r="E171" s="1">
        <v>11.6</v>
      </c>
      <c r="F171" s="102">
        <f t="shared" si="14"/>
        <v>0.11599999999999999</v>
      </c>
      <c r="G171" s="72">
        <f t="shared" si="15"/>
        <v>24.327694808466283</v>
      </c>
      <c r="H171" s="5">
        <f t="shared" si="16"/>
        <v>19.474320605894903</v>
      </c>
      <c r="I171" s="57">
        <f t="shared" si="23"/>
        <v>9.3575165161214225E-5</v>
      </c>
      <c r="J171" s="5">
        <f t="shared" si="17"/>
        <v>1.6141715990309453E-2</v>
      </c>
      <c r="K171" s="5">
        <f t="shared" si="18"/>
        <v>8.8681819714017521E-2</v>
      </c>
      <c r="L171" s="5">
        <f t="shared" si="19"/>
        <v>3.5472727885607003</v>
      </c>
      <c r="M171" s="67" t="str">
        <f t="shared" si="20"/>
        <v>Ok</v>
      </c>
      <c r="N171" s="67" t="str">
        <f t="shared" si="21"/>
        <v>Ok</v>
      </c>
      <c r="P171"/>
    </row>
    <row r="172" spans="1:16" x14ac:dyDescent="0.25">
      <c r="A172">
        <v>126</v>
      </c>
      <c r="B172" s="24">
        <f t="shared" si="22"/>
        <v>18037.5</v>
      </c>
      <c r="C172" s="100">
        <v>18195</v>
      </c>
      <c r="D172" s="58">
        <f t="shared" si="13"/>
        <v>157.5</v>
      </c>
      <c r="E172" s="1">
        <v>11.6</v>
      </c>
      <c r="F172" s="102">
        <f t="shared" si="14"/>
        <v>0.11599999999999999</v>
      </c>
      <c r="G172" s="72">
        <f t="shared" si="15"/>
        <v>24.327694808466283</v>
      </c>
      <c r="H172" s="5">
        <f t="shared" si="16"/>
        <v>19.474320605894903</v>
      </c>
      <c r="I172" s="57">
        <f t="shared" si="23"/>
        <v>9.3575165161214225E-5</v>
      </c>
      <c r="J172" s="5">
        <f t="shared" si="17"/>
        <v>1.473808851289124E-2</v>
      </c>
      <c r="K172" s="5">
        <f t="shared" si="18"/>
        <v>8.8681819714017521E-2</v>
      </c>
      <c r="L172" s="5">
        <f t="shared" si="19"/>
        <v>3.5472727885607003</v>
      </c>
      <c r="M172" s="67" t="str">
        <f t="shared" si="20"/>
        <v>Ok</v>
      </c>
      <c r="N172" s="67" t="str">
        <f t="shared" si="21"/>
        <v>Ok</v>
      </c>
      <c r="P172"/>
    </row>
    <row r="173" spans="1:16" x14ac:dyDescent="0.25">
      <c r="A173">
        <v>127</v>
      </c>
      <c r="B173" s="24">
        <f t="shared" si="22"/>
        <v>18195</v>
      </c>
      <c r="C173" s="100">
        <v>18255</v>
      </c>
      <c r="D173" s="58">
        <f t="shared" si="13"/>
        <v>60</v>
      </c>
      <c r="E173" s="1">
        <v>12.8</v>
      </c>
      <c r="F173" s="102">
        <f t="shared" si="14"/>
        <v>0.128</v>
      </c>
      <c r="G173" s="72">
        <f t="shared" si="15"/>
        <v>25.555062599997598</v>
      </c>
      <c r="H173" s="5">
        <f t="shared" si="16"/>
        <v>18.907613730996665</v>
      </c>
      <c r="I173" s="57">
        <f t="shared" si="23"/>
        <v>9.3575165161214347E-5</v>
      </c>
      <c r="J173" s="5">
        <f t="shared" si="17"/>
        <v>5.6145099096728606E-3</v>
      </c>
      <c r="K173" s="5">
        <f t="shared" si="18"/>
        <v>9.3155947249253301E-2</v>
      </c>
      <c r="L173" s="5">
        <f t="shared" si="19"/>
        <v>3.7262378899701312</v>
      </c>
      <c r="M173" s="67" t="str">
        <f t="shared" si="20"/>
        <v>Ok</v>
      </c>
      <c r="N173" s="67" t="str">
        <f t="shared" si="21"/>
        <v>Ok</v>
      </c>
      <c r="P173"/>
    </row>
    <row r="174" spans="1:16" x14ac:dyDescent="0.25">
      <c r="A174">
        <v>128</v>
      </c>
      <c r="B174" s="24">
        <f t="shared" si="22"/>
        <v>18255</v>
      </c>
      <c r="C174" s="99">
        <v>18301.599999999999</v>
      </c>
      <c r="D174" s="58">
        <f t="shared" si="13"/>
        <v>46.599999999998545</v>
      </c>
      <c r="E174" s="1">
        <v>6.2</v>
      </c>
      <c r="F174" s="102">
        <f t="shared" si="14"/>
        <v>6.2E-2</v>
      </c>
      <c r="G174" s="72">
        <f t="shared" si="15"/>
        <v>17.785570854269618</v>
      </c>
      <c r="H174" s="5">
        <f t="shared" si="16"/>
        <v>23.500776132471334</v>
      </c>
      <c r="I174" s="57">
        <f t="shared" si="23"/>
        <v>9.3575165161214415E-5</v>
      </c>
      <c r="J174" s="5">
        <f t="shared" si="17"/>
        <v>4.3606026965124552E-3</v>
      </c>
      <c r="K174" s="5">
        <f t="shared" si="18"/>
        <v>6.4833795410008249E-2</v>
      </c>
      <c r="L174" s="5">
        <f t="shared" si="19"/>
        <v>2.5933518164003293</v>
      </c>
      <c r="M174" s="67" t="str">
        <f t="shared" si="20"/>
        <v>Ok</v>
      </c>
      <c r="N174" s="67" t="str">
        <f t="shared" si="21"/>
        <v>Ok</v>
      </c>
      <c r="P174"/>
    </row>
    <row r="175" spans="1:16" x14ac:dyDescent="0.25">
      <c r="A175">
        <v>129</v>
      </c>
      <c r="B175" s="24">
        <f t="shared" si="22"/>
        <v>18301.599999999999</v>
      </c>
      <c r="C175" s="100">
        <v>18550</v>
      </c>
      <c r="D175" s="58">
        <f t="shared" si="13"/>
        <v>248.40000000000146</v>
      </c>
      <c r="E175" s="1">
        <v>6.2</v>
      </c>
      <c r="F175" s="102">
        <f t="shared" si="14"/>
        <v>6.2E-2</v>
      </c>
      <c r="G175" s="72">
        <f t="shared" si="15"/>
        <v>17.785570854269618</v>
      </c>
      <c r="H175" s="5">
        <f t="shared" si="16"/>
        <v>23.500776132471334</v>
      </c>
      <c r="I175" s="57">
        <f t="shared" si="23"/>
        <v>9.3575165161214415E-5</v>
      </c>
      <c r="J175" s="5">
        <f t="shared" si="17"/>
        <v>2.3244071026045796E-2</v>
      </c>
      <c r="K175" s="5">
        <f t="shared" si="18"/>
        <v>6.4833795410008249E-2</v>
      </c>
      <c r="L175" s="5">
        <f t="shared" si="19"/>
        <v>2.5933518164003293</v>
      </c>
      <c r="M175" s="67" t="str">
        <f t="shared" si="20"/>
        <v>Ok</v>
      </c>
      <c r="N175" s="67" t="str">
        <f t="shared" si="21"/>
        <v>Ok</v>
      </c>
      <c r="P175"/>
    </row>
    <row r="176" spans="1:16" x14ac:dyDescent="0.25">
      <c r="A176">
        <v>130</v>
      </c>
      <c r="B176" s="24">
        <f t="shared" si="22"/>
        <v>18550</v>
      </c>
      <c r="C176" s="100">
        <v>18680</v>
      </c>
      <c r="D176" s="58">
        <f t="shared" ref="D176:D239" si="24">C176-B176</f>
        <v>130</v>
      </c>
      <c r="E176" s="1">
        <v>13.9</v>
      </c>
      <c r="F176" s="102">
        <f t="shared" ref="F176:F239" si="25">E176/100</f>
        <v>0.13900000000000001</v>
      </c>
      <c r="G176" s="72">
        <f t="shared" ref="G176:G239" si="26">(F176^0.5)/$N$8</f>
        <v>26.630502689010356</v>
      </c>
      <c r="H176" s="5">
        <f t="shared" ref="H176:H239" si="27">($N$7/(G176*($I$38^(2/3))))^(3/5)</f>
        <v>18.44570557244797</v>
      </c>
      <c r="I176" s="57">
        <f t="shared" si="23"/>
        <v>9.3575165161214225E-5</v>
      </c>
      <c r="J176" s="5">
        <f t="shared" ref="J176:J239" si="28">D176*I176</f>
        <v>1.2164771470957849E-2</v>
      </c>
      <c r="K176" s="5">
        <f t="shared" ref="K176:K239" si="29">(1/$N$8)*$N$28*(($N$28/$N$29)^(2/3))*(F176^0.5)</f>
        <v>9.7076252269434102E-2</v>
      </c>
      <c r="L176" s="5">
        <f t="shared" ref="L176:L239" si="30">K176/$D$28</f>
        <v>3.8830500907773633</v>
      </c>
      <c r="M176" s="67" t="str">
        <f t="shared" ref="M176:M239" si="31">IF(L176&gt;4.5,"Verificar","Ok")</f>
        <v>Ok</v>
      </c>
      <c r="N176" s="67" t="str">
        <f t="shared" ref="N176:N239" si="32">IF(K176&gt;J176,"Ok","Cambiar sección")</f>
        <v>Ok</v>
      </c>
      <c r="P176"/>
    </row>
    <row r="177" spans="1:16" x14ac:dyDescent="0.25">
      <c r="A177">
        <v>131</v>
      </c>
      <c r="B177" s="24">
        <f t="shared" si="22"/>
        <v>18680</v>
      </c>
      <c r="C177" s="99">
        <v>18773</v>
      </c>
      <c r="D177" s="58">
        <f t="shared" si="24"/>
        <v>93</v>
      </c>
      <c r="E177" s="1">
        <v>4.5</v>
      </c>
      <c r="F177" s="102">
        <f t="shared" si="25"/>
        <v>4.4999999999999998E-2</v>
      </c>
      <c r="G177" s="72">
        <f t="shared" si="26"/>
        <v>15.15228816828316</v>
      </c>
      <c r="H177" s="5">
        <f t="shared" si="27"/>
        <v>25.87235479205297</v>
      </c>
      <c r="I177" s="57">
        <f t="shared" si="23"/>
        <v>9.3575165161214211E-5</v>
      </c>
      <c r="J177" s="5">
        <f t="shared" si="28"/>
        <v>8.7024903599929211E-3</v>
      </c>
      <c r="K177" s="5">
        <f t="shared" si="29"/>
        <v>5.5234682043400818E-2</v>
      </c>
      <c r="L177" s="5">
        <f t="shared" si="30"/>
        <v>2.2093872817360323</v>
      </c>
      <c r="M177" s="67" t="str">
        <f t="shared" si="31"/>
        <v>Ok</v>
      </c>
      <c r="N177" s="67" t="str">
        <f t="shared" si="32"/>
        <v>Ok</v>
      </c>
      <c r="P177"/>
    </row>
    <row r="178" spans="1:16" x14ac:dyDescent="0.25">
      <c r="A178">
        <v>132</v>
      </c>
      <c r="B178" s="24">
        <f t="shared" ref="B178:B241" si="33">C177</f>
        <v>18773</v>
      </c>
      <c r="C178" s="99">
        <v>19002</v>
      </c>
      <c r="D178" s="58">
        <f t="shared" si="24"/>
        <v>229</v>
      </c>
      <c r="E178" s="1">
        <v>9</v>
      </c>
      <c r="F178" s="102">
        <f t="shared" si="25"/>
        <v>0.09</v>
      </c>
      <c r="G178" s="72">
        <f t="shared" si="26"/>
        <v>21.428571428571427</v>
      </c>
      <c r="H178" s="5">
        <f t="shared" si="27"/>
        <v>21.014882179223768</v>
      </c>
      <c r="I178" s="57">
        <f t="shared" si="23"/>
        <v>9.3575165161214293E-5</v>
      </c>
      <c r="J178" s="5">
        <f t="shared" si="28"/>
        <v>2.1428712821918074E-2</v>
      </c>
      <c r="K178" s="5">
        <f t="shared" si="29"/>
        <v>7.8113636459143099E-2</v>
      </c>
      <c r="L178" s="5">
        <f t="shared" si="30"/>
        <v>3.1245454583657235</v>
      </c>
      <c r="M178" s="67" t="str">
        <f t="shared" si="31"/>
        <v>Ok</v>
      </c>
      <c r="N178" s="67" t="str">
        <f t="shared" si="32"/>
        <v>Ok</v>
      </c>
      <c r="P178"/>
    </row>
    <row r="179" spans="1:16" x14ac:dyDescent="0.25">
      <c r="A179">
        <v>133</v>
      </c>
      <c r="B179" s="24">
        <f t="shared" si="33"/>
        <v>19002</v>
      </c>
      <c r="C179" s="99">
        <v>19360</v>
      </c>
      <c r="D179" s="58">
        <f t="shared" si="24"/>
        <v>358</v>
      </c>
      <c r="E179" s="1">
        <v>15.4</v>
      </c>
      <c r="F179" s="102">
        <f t="shared" si="25"/>
        <v>0.154</v>
      </c>
      <c r="G179" s="72">
        <f t="shared" si="26"/>
        <v>28.030595529069405</v>
      </c>
      <c r="H179" s="5">
        <f t="shared" si="27"/>
        <v>17.887246668738612</v>
      </c>
      <c r="I179" s="57">
        <f t="shared" si="23"/>
        <v>9.357516516121436E-5</v>
      </c>
      <c r="J179" s="5">
        <f t="shared" si="28"/>
        <v>3.3499909127714743E-2</v>
      </c>
      <c r="K179" s="5">
        <f t="shared" si="29"/>
        <v>0.10218001494824711</v>
      </c>
      <c r="L179" s="5">
        <f t="shared" si="30"/>
        <v>4.0872005979298835</v>
      </c>
      <c r="M179" s="67" t="str">
        <f t="shared" si="31"/>
        <v>Ok</v>
      </c>
      <c r="N179" s="67" t="str">
        <f t="shared" si="32"/>
        <v>Ok</v>
      </c>
      <c r="P179"/>
    </row>
    <row r="180" spans="1:16" x14ac:dyDescent="0.25">
      <c r="A180">
        <v>134</v>
      </c>
      <c r="B180" s="24">
        <f t="shared" si="33"/>
        <v>19360</v>
      </c>
      <c r="C180" s="99">
        <v>19602</v>
      </c>
      <c r="D180" s="58">
        <f t="shared" si="24"/>
        <v>242</v>
      </c>
      <c r="E180" s="1">
        <v>13.5</v>
      </c>
      <c r="F180" s="102">
        <f t="shared" si="25"/>
        <v>0.13500000000000001</v>
      </c>
      <c r="G180" s="72">
        <f t="shared" si="26"/>
        <v>26.244532958391193</v>
      </c>
      <c r="H180" s="5">
        <f t="shared" si="27"/>
        <v>18.607995045138715</v>
      </c>
      <c r="I180" s="57">
        <f t="shared" si="23"/>
        <v>9.357516516121432E-5</v>
      </c>
      <c r="J180" s="5">
        <f t="shared" si="28"/>
        <v>2.2645189969013865E-2</v>
      </c>
      <c r="K180" s="5">
        <f t="shared" si="29"/>
        <v>9.5669275639082563E-2</v>
      </c>
      <c r="L180" s="5">
        <f t="shared" si="30"/>
        <v>3.8267710255633016</v>
      </c>
      <c r="M180" s="67" t="str">
        <f t="shared" si="31"/>
        <v>Ok</v>
      </c>
      <c r="N180" s="67" t="str">
        <f t="shared" si="32"/>
        <v>Ok</v>
      </c>
      <c r="P180"/>
    </row>
    <row r="181" spans="1:16" x14ac:dyDescent="0.25">
      <c r="A181">
        <v>135</v>
      </c>
      <c r="B181" s="24">
        <f t="shared" si="33"/>
        <v>19602</v>
      </c>
      <c r="C181" s="99">
        <v>19771.3</v>
      </c>
      <c r="D181" s="58">
        <f t="shared" si="24"/>
        <v>169.29999999999927</v>
      </c>
      <c r="E181" s="1">
        <v>13.5</v>
      </c>
      <c r="F181" s="102">
        <f t="shared" si="25"/>
        <v>0.13500000000000001</v>
      </c>
      <c r="G181" s="72">
        <f t="shared" si="26"/>
        <v>26.244532958391193</v>
      </c>
      <c r="H181" s="5">
        <f t="shared" si="27"/>
        <v>18.607995045138715</v>
      </c>
      <c r="I181" s="57">
        <f t="shared" si="23"/>
        <v>9.357516516121432E-5</v>
      </c>
      <c r="J181" s="5">
        <f t="shared" si="28"/>
        <v>1.5842275461793516E-2</v>
      </c>
      <c r="K181" s="5">
        <f t="shared" si="29"/>
        <v>9.5669275639082563E-2</v>
      </c>
      <c r="L181" s="5">
        <f t="shared" si="30"/>
        <v>3.8267710255633016</v>
      </c>
      <c r="M181" s="67" t="str">
        <f t="shared" si="31"/>
        <v>Ok</v>
      </c>
      <c r="N181" s="67" t="str">
        <f t="shared" si="32"/>
        <v>Ok</v>
      </c>
      <c r="P181"/>
    </row>
    <row r="182" spans="1:16" x14ac:dyDescent="0.25">
      <c r="A182">
        <v>136</v>
      </c>
      <c r="B182" s="24">
        <f t="shared" si="33"/>
        <v>19771.3</v>
      </c>
      <c r="C182" s="100">
        <v>19895</v>
      </c>
      <c r="D182" s="58">
        <f t="shared" si="24"/>
        <v>123.70000000000073</v>
      </c>
      <c r="E182" s="1">
        <v>6.6</v>
      </c>
      <c r="F182" s="102">
        <f t="shared" si="25"/>
        <v>6.6000000000000003E-2</v>
      </c>
      <c r="G182" s="72">
        <f t="shared" si="26"/>
        <v>18.350332255235902</v>
      </c>
      <c r="H182" s="5">
        <f t="shared" si="27"/>
        <v>23.064101022568771</v>
      </c>
      <c r="I182" s="57">
        <f t="shared" si="23"/>
        <v>9.3575165161214238E-5</v>
      </c>
      <c r="J182" s="5">
        <f t="shared" si="28"/>
        <v>1.1575247930442269E-2</v>
      </c>
      <c r="K182" s="5">
        <f t="shared" si="29"/>
        <v>6.6892521858865947E-2</v>
      </c>
      <c r="L182" s="5">
        <f t="shared" si="30"/>
        <v>2.6757008743546375</v>
      </c>
      <c r="M182" s="67" t="str">
        <f t="shared" si="31"/>
        <v>Ok</v>
      </c>
      <c r="N182" s="67" t="str">
        <f t="shared" si="32"/>
        <v>Ok</v>
      </c>
      <c r="P182"/>
    </row>
    <row r="183" spans="1:16" x14ac:dyDescent="0.25">
      <c r="A183">
        <v>137</v>
      </c>
      <c r="B183" s="24">
        <f t="shared" si="33"/>
        <v>19895</v>
      </c>
      <c r="C183" s="99">
        <v>20154.400000000001</v>
      </c>
      <c r="D183" s="58">
        <f t="shared" si="24"/>
        <v>259.40000000000146</v>
      </c>
      <c r="E183" s="1">
        <v>16.399999999999999</v>
      </c>
      <c r="F183" s="102">
        <f t="shared" si="25"/>
        <v>0.16399999999999998</v>
      </c>
      <c r="G183" s="72">
        <f t="shared" si="26"/>
        <v>28.926366759023693</v>
      </c>
      <c r="H183" s="5">
        <f t="shared" si="27"/>
        <v>17.552806202091212</v>
      </c>
      <c r="I183" s="57">
        <f t="shared" si="23"/>
        <v>9.3575165161214225E-5</v>
      </c>
      <c r="J183" s="5">
        <f t="shared" si="28"/>
        <v>2.4273397842819105E-2</v>
      </c>
      <c r="K183" s="5">
        <f t="shared" si="29"/>
        <v>0.10544537253125018</v>
      </c>
      <c r="L183" s="5">
        <f t="shared" si="30"/>
        <v>4.2178149012500059</v>
      </c>
      <c r="M183" s="67" t="str">
        <f t="shared" si="31"/>
        <v>Ok</v>
      </c>
      <c r="N183" s="67" t="str">
        <f t="shared" si="32"/>
        <v>Ok</v>
      </c>
      <c r="P183"/>
    </row>
    <row r="184" spans="1:16" x14ac:dyDescent="0.25">
      <c r="A184">
        <v>138</v>
      </c>
      <c r="B184" s="24">
        <f t="shared" si="33"/>
        <v>20154.400000000001</v>
      </c>
      <c r="C184" s="99">
        <v>20276.099999999999</v>
      </c>
      <c r="D184" s="58">
        <f t="shared" si="24"/>
        <v>121.69999999999709</v>
      </c>
      <c r="E184" s="1">
        <v>16.399999999999999</v>
      </c>
      <c r="F184" s="102">
        <f t="shared" si="25"/>
        <v>0.16399999999999998</v>
      </c>
      <c r="G184" s="72">
        <f t="shared" si="26"/>
        <v>28.926366759023693</v>
      </c>
      <c r="H184" s="5">
        <f t="shared" si="27"/>
        <v>17.552806202091212</v>
      </c>
      <c r="I184" s="57">
        <f t="shared" si="23"/>
        <v>9.3575165161214225E-5</v>
      </c>
      <c r="J184" s="5">
        <f t="shared" si="28"/>
        <v>1.1388097600119499E-2</v>
      </c>
      <c r="K184" s="5">
        <f t="shared" si="29"/>
        <v>0.10544537253125018</v>
      </c>
      <c r="L184" s="5">
        <f t="shared" si="30"/>
        <v>4.2178149012500059</v>
      </c>
      <c r="M184" s="67" t="str">
        <f t="shared" si="31"/>
        <v>Ok</v>
      </c>
      <c r="N184" s="67" t="str">
        <f t="shared" si="32"/>
        <v>Ok</v>
      </c>
      <c r="P184"/>
    </row>
    <row r="185" spans="1:16" x14ac:dyDescent="0.25">
      <c r="A185">
        <v>139</v>
      </c>
      <c r="B185" s="24">
        <f t="shared" si="33"/>
        <v>20276.099999999999</v>
      </c>
      <c r="C185" s="99">
        <v>20316.7</v>
      </c>
      <c r="D185" s="58">
        <f t="shared" si="24"/>
        <v>40.600000000002183</v>
      </c>
      <c r="E185" s="1">
        <v>16.399999999999999</v>
      </c>
      <c r="F185" s="102">
        <f t="shared" si="25"/>
        <v>0.16399999999999998</v>
      </c>
      <c r="G185" s="72">
        <f t="shared" si="26"/>
        <v>28.926366759023693</v>
      </c>
      <c r="H185" s="5">
        <f t="shared" si="27"/>
        <v>17.552806202091212</v>
      </c>
      <c r="I185" s="57">
        <f t="shared" si="23"/>
        <v>9.3575165161214225E-5</v>
      </c>
      <c r="J185" s="5">
        <f t="shared" si="28"/>
        <v>3.799151705545502E-3</v>
      </c>
      <c r="K185" s="5">
        <f t="shared" si="29"/>
        <v>0.10544537253125018</v>
      </c>
      <c r="L185" s="5">
        <f t="shared" si="30"/>
        <v>4.2178149012500059</v>
      </c>
      <c r="M185" s="67" t="str">
        <f t="shared" si="31"/>
        <v>Ok</v>
      </c>
      <c r="N185" s="67" t="str">
        <f t="shared" si="32"/>
        <v>Ok</v>
      </c>
      <c r="P185"/>
    </row>
    <row r="186" spans="1:16" x14ac:dyDescent="0.25">
      <c r="A186">
        <v>140</v>
      </c>
      <c r="B186" s="24">
        <f t="shared" si="33"/>
        <v>20316.7</v>
      </c>
      <c r="C186" s="100">
        <v>20505</v>
      </c>
      <c r="D186" s="58">
        <f t="shared" si="24"/>
        <v>188.29999999999927</v>
      </c>
      <c r="E186" s="1">
        <v>16.399999999999999</v>
      </c>
      <c r="F186" s="102">
        <f t="shared" si="25"/>
        <v>0.16399999999999998</v>
      </c>
      <c r="G186" s="72">
        <f t="shared" si="26"/>
        <v>28.926366759023693</v>
      </c>
      <c r="H186" s="5">
        <f t="shared" si="27"/>
        <v>17.552806202091212</v>
      </c>
      <c r="I186" s="57">
        <f t="shared" si="23"/>
        <v>9.3575165161214225E-5</v>
      </c>
      <c r="J186" s="5">
        <f t="shared" si="28"/>
        <v>1.7620203599856572E-2</v>
      </c>
      <c r="K186" s="5">
        <f t="shared" si="29"/>
        <v>0.10544537253125018</v>
      </c>
      <c r="L186" s="5">
        <f t="shared" si="30"/>
        <v>4.2178149012500059</v>
      </c>
      <c r="M186" s="67" t="str">
        <f t="shared" si="31"/>
        <v>Ok</v>
      </c>
      <c r="N186" s="67" t="str">
        <f t="shared" si="32"/>
        <v>Ok</v>
      </c>
      <c r="P186"/>
    </row>
    <row r="187" spans="1:16" x14ac:dyDescent="0.25">
      <c r="A187">
        <v>141</v>
      </c>
      <c r="B187" s="24">
        <f t="shared" si="33"/>
        <v>20505</v>
      </c>
      <c r="C187" s="99">
        <v>20636.400000000001</v>
      </c>
      <c r="D187" s="58">
        <f t="shared" si="24"/>
        <v>131.40000000000146</v>
      </c>
      <c r="E187" s="1">
        <v>13.9</v>
      </c>
      <c r="F187" s="102">
        <f t="shared" si="25"/>
        <v>0.13900000000000001</v>
      </c>
      <c r="G187" s="72">
        <f t="shared" si="26"/>
        <v>26.630502689010356</v>
      </c>
      <c r="H187" s="5">
        <f t="shared" si="27"/>
        <v>18.44570557244797</v>
      </c>
      <c r="I187" s="57">
        <f t="shared" ref="I187:I250" si="34">G187*(($I$39*H187)^(5/3))</f>
        <v>9.3575165161214225E-5</v>
      </c>
      <c r="J187" s="5">
        <f t="shared" si="28"/>
        <v>1.2295776702183686E-2</v>
      </c>
      <c r="K187" s="5">
        <f t="shared" si="29"/>
        <v>9.7076252269434102E-2</v>
      </c>
      <c r="L187" s="5">
        <f t="shared" si="30"/>
        <v>3.8830500907773633</v>
      </c>
      <c r="M187" s="67" t="str">
        <f t="shared" si="31"/>
        <v>Ok</v>
      </c>
      <c r="N187" s="67" t="str">
        <f t="shared" si="32"/>
        <v>Ok</v>
      </c>
      <c r="P187"/>
    </row>
    <row r="188" spans="1:16" x14ac:dyDescent="0.25">
      <c r="A188">
        <v>142</v>
      </c>
      <c r="B188" s="24">
        <f t="shared" si="33"/>
        <v>20636.400000000001</v>
      </c>
      <c r="C188" s="100">
        <v>20865</v>
      </c>
      <c r="D188" s="58">
        <f t="shared" si="24"/>
        <v>228.59999999999854</v>
      </c>
      <c r="E188" s="1">
        <v>13.9</v>
      </c>
      <c r="F188" s="102">
        <f t="shared" si="25"/>
        <v>0.13900000000000001</v>
      </c>
      <c r="G188" s="72">
        <f t="shared" si="26"/>
        <v>26.630502689010356</v>
      </c>
      <c r="H188" s="5">
        <f t="shared" si="27"/>
        <v>18.44570557244797</v>
      </c>
      <c r="I188" s="57">
        <f t="shared" si="34"/>
        <v>9.3575165161214225E-5</v>
      </c>
      <c r="J188" s="5">
        <f t="shared" si="28"/>
        <v>2.1391282755853436E-2</v>
      </c>
      <c r="K188" s="5">
        <f t="shared" si="29"/>
        <v>9.7076252269434102E-2</v>
      </c>
      <c r="L188" s="5">
        <f t="shared" si="30"/>
        <v>3.8830500907773633</v>
      </c>
      <c r="M188" s="67" t="str">
        <f t="shared" si="31"/>
        <v>Ok</v>
      </c>
      <c r="N188" s="67" t="str">
        <f t="shared" si="32"/>
        <v>Ok</v>
      </c>
      <c r="P188"/>
    </row>
    <row r="189" spans="1:16" x14ac:dyDescent="0.25">
      <c r="A189">
        <v>143</v>
      </c>
      <c r="B189" s="24">
        <f t="shared" si="33"/>
        <v>20865</v>
      </c>
      <c r="C189" s="99">
        <v>21163</v>
      </c>
      <c r="D189" s="104">
        <f t="shared" si="24"/>
        <v>298</v>
      </c>
      <c r="E189" s="1">
        <v>4.9000000000000004</v>
      </c>
      <c r="F189" s="102">
        <f t="shared" si="25"/>
        <v>4.9000000000000002E-2</v>
      </c>
      <c r="G189" s="72">
        <f t="shared" si="26"/>
        <v>15.811388300841896</v>
      </c>
      <c r="H189" s="5">
        <f t="shared" si="27"/>
        <v>25.219756453199011</v>
      </c>
      <c r="I189" s="57">
        <f t="shared" si="34"/>
        <v>9.3575165161214279E-5</v>
      </c>
      <c r="J189" s="5">
        <f t="shared" si="28"/>
        <v>2.7885399218041854E-2</v>
      </c>
      <c r="K189" s="5">
        <f t="shared" si="29"/>
        <v>5.7637301756827901E-2</v>
      </c>
      <c r="L189" s="5">
        <f t="shared" si="30"/>
        <v>2.3054920702731154</v>
      </c>
      <c r="M189" s="67" t="str">
        <f t="shared" si="31"/>
        <v>Ok</v>
      </c>
      <c r="N189" s="67" t="str">
        <f t="shared" si="32"/>
        <v>Ok</v>
      </c>
      <c r="P189"/>
    </row>
    <row r="190" spans="1:16" x14ac:dyDescent="0.25">
      <c r="A190">
        <v>144</v>
      </c>
      <c r="B190" s="24">
        <f t="shared" si="33"/>
        <v>21163</v>
      </c>
      <c r="C190" s="99">
        <v>21321.1</v>
      </c>
      <c r="D190" s="58">
        <f t="shared" si="24"/>
        <v>158.09999999999854</v>
      </c>
      <c r="E190" s="1">
        <v>10.3</v>
      </c>
      <c r="F190" s="102">
        <f t="shared" si="25"/>
        <v>0.10300000000000001</v>
      </c>
      <c r="G190" s="72">
        <f t="shared" si="26"/>
        <v>22.924009336973164</v>
      </c>
      <c r="H190" s="5">
        <f t="shared" si="27"/>
        <v>20.181272422160173</v>
      </c>
      <c r="I190" s="57">
        <f t="shared" si="34"/>
        <v>9.3575165161214293E-5</v>
      </c>
      <c r="J190" s="5">
        <f t="shared" si="28"/>
        <v>1.4794233611987843E-2</v>
      </c>
      <c r="K190" s="5">
        <f t="shared" si="29"/>
        <v>8.3564960804935098E-2</v>
      </c>
      <c r="L190" s="5">
        <f t="shared" si="30"/>
        <v>3.3425984321974034</v>
      </c>
      <c r="M190" s="67" t="str">
        <f t="shared" si="31"/>
        <v>Ok</v>
      </c>
      <c r="N190" s="67" t="str">
        <f t="shared" si="32"/>
        <v>Ok</v>
      </c>
    </row>
    <row r="191" spans="1:16" x14ac:dyDescent="0.25">
      <c r="A191">
        <v>145</v>
      </c>
      <c r="B191" s="24">
        <f t="shared" si="33"/>
        <v>21321.1</v>
      </c>
      <c r="C191" s="99">
        <v>21354.6</v>
      </c>
      <c r="D191" s="58">
        <f t="shared" si="24"/>
        <v>33.5</v>
      </c>
      <c r="E191" s="1">
        <v>10.3</v>
      </c>
      <c r="F191" s="102">
        <f t="shared" si="25"/>
        <v>0.10300000000000001</v>
      </c>
      <c r="G191" s="72">
        <f t="shared" si="26"/>
        <v>22.924009336973164</v>
      </c>
      <c r="H191" s="5">
        <f t="shared" si="27"/>
        <v>20.181272422160173</v>
      </c>
      <c r="I191" s="57">
        <f t="shared" si="34"/>
        <v>9.3575165161214293E-5</v>
      </c>
      <c r="J191" s="5">
        <f t="shared" si="28"/>
        <v>3.1347680329006787E-3</v>
      </c>
      <c r="K191" s="5">
        <f t="shared" si="29"/>
        <v>8.3564960804935098E-2</v>
      </c>
      <c r="L191" s="5">
        <f t="shared" si="30"/>
        <v>3.3425984321974034</v>
      </c>
      <c r="M191" s="67" t="str">
        <f t="shared" si="31"/>
        <v>Ok</v>
      </c>
      <c r="N191" s="67" t="str">
        <f t="shared" si="32"/>
        <v>Ok</v>
      </c>
    </row>
    <row r="192" spans="1:16" x14ac:dyDescent="0.25">
      <c r="A192">
        <v>146</v>
      </c>
      <c r="B192" s="24">
        <f t="shared" si="33"/>
        <v>21354.6</v>
      </c>
      <c r="C192" s="100">
        <v>21635</v>
      </c>
      <c r="D192" s="58">
        <f t="shared" si="24"/>
        <v>280.40000000000146</v>
      </c>
      <c r="E192" s="1">
        <v>18</v>
      </c>
      <c r="F192" s="102">
        <f t="shared" si="25"/>
        <v>0.18</v>
      </c>
      <c r="G192" s="72">
        <f t="shared" si="26"/>
        <v>30.304576336566321</v>
      </c>
      <c r="H192" s="5">
        <f t="shared" si="27"/>
        <v>17.069388409218455</v>
      </c>
      <c r="I192" s="57">
        <f t="shared" si="34"/>
        <v>9.3575165161214198E-5</v>
      </c>
      <c r="J192" s="5">
        <f t="shared" si="28"/>
        <v>2.6238476311204597E-2</v>
      </c>
      <c r="K192" s="5">
        <f t="shared" si="29"/>
        <v>0.11046936408680164</v>
      </c>
      <c r="L192" s="5">
        <f t="shared" si="30"/>
        <v>4.4187745634720645</v>
      </c>
      <c r="M192" s="67" t="str">
        <f t="shared" si="31"/>
        <v>Ok</v>
      </c>
      <c r="N192" s="67" t="str">
        <f t="shared" si="32"/>
        <v>Ok</v>
      </c>
    </row>
    <row r="193" spans="1:14" x14ac:dyDescent="0.25">
      <c r="A193">
        <v>147</v>
      </c>
      <c r="B193" s="24">
        <f t="shared" si="33"/>
        <v>21635</v>
      </c>
      <c r="C193" s="99">
        <v>21800</v>
      </c>
      <c r="D193" s="58">
        <f t="shared" si="24"/>
        <v>165</v>
      </c>
      <c r="E193" s="1">
        <v>11.2</v>
      </c>
      <c r="F193" s="102">
        <f t="shared" si="25"/>
        <v>0.11199999999999999</v>
      </c>
      <c r="G193" s="72">
        <f t="shared" si="26"/>
        <v>23.904572186687872</v>
      </c>
      <c r="H193" s="5">
        <f t="shared" si="27"/>
        <v>19.68041741760657</v>
      </c>
      <c r="I193" s="57">
        <f t="shared" si="34"/>
        <v>9.3575165161214171E-5</v>
      </c>
      <c r="J193" s="5">
        <f t="shared" si="28"/>
        <v>1.5439902251600338E-2</v>
      </c>
      <c r="K193" s="5">
        <f t="shared" si="29"/>
        <v>8.7139409536773058E-2</v>
      </c>
      <c r="L193" s="5">
        <f t="shared" si="30"/>
        <v>3.4855763814709215</v>
      </c>
      <c r="M193" s="67" t="str">
        <f t="shared" si="31"/>
        <v>Ok</v>
      </c>
      <c r="N193" s="67" t="str">
        <f t="shared" si="32"/>
        <v>Ok</v>
      </c>
    </row>
    <row r="194" spans="1:14" x14ac:dyDescent="0.25">
      <c r="A194">
        <v>148</v>
      </c>
      <c r="B194" s="24">
        <f t="shared" si="33"/>
        <v>21800</v>
      </c>
      <c r="C194" s="99">
        <v>21915</v>
      </c>
      <c r="D194" s="58">
        <f t="shared" si="24"/>
        <v>115</v>
      </c>
      <c r="E194" s="1">
        <v>11.2</v>
      </c>
      <c r="F194" s="102">
        <f t="shared" si="25"/>
        <v>0.11199999999999999</v>
      </c>
      <c r="G194" s="72">
        <f t="shared" si="26"/>
        <v>23.904572186687872</v>
      </c>
      <c r="H194" s="5">
        <f t="shared" si="27"/>
        <v>19.68041741760657</v>
      </c>
      <c r="I194" s="57">
        <f t="shared" si="34"/>
        <v>9.3575165161214171E-5</v>
      </c>
      <c r="J194" s="5">
        <f t="shared" si="28"/>
        <v>1.076114399353963E-2</v>
      </c>
      <c r="K194" s="5">
        <f t="shared" si="29"/>
        <v>8.7139409536773058E-2</v>
      </c>
      <c r="L194" s="5">
        <f t="shared" si="30"/>
        <v>3.4855763814709215</v>
      </c>
      <c r="M194" s="67" t="str">
        <f t="shared" si="31"/>
        <v>Ok</v>
      </c>
      <c r="N194" s="67" t="str">
        <f t="shared" si="32"/>
        <v>Ok</v>
      </c>
    </row>
    <row r="195" spans="1:14" x14ac:dyDescent="0.25">
      <c r="A195">
        <v>149</v>
      </c>
      <c r="B195" s="24">
        <f t="shared" si="33"/>
        <v>21915</v>
      </c>
      <c r="C195" s="100">
        <v>22065</v>
      </c>
      <c r="D195" s="58">
        <f t="shared" si="24"/>
        <v>150</v>
      </c>
      <c r="E195" s="1">
        <v>1</v>
      </c>
      <c r="F195" s="102">
        <f t="shared" si="25"/>
        <v>0.01</v>
      </c>
      <c r="G195" s="72">
        <f t="shared" si="26"/>
        <v>7.1428571428571432</v>
      </c>
      <c r="H195" s="5">
        <f t="shared" si="27"/>
        <v>40.625592905231848</v>
      </c>
      <c r="I195" s="57">
        <f t="shared" si="34"/>
        <v>9.3575165161214238E-5</v>
      </c>
      <c r="J195" s="5">
        <f t="shared" si="28"/>
        <v>1.4036274774182136E-2</v>
      </c>
      <c r="K195" s="5">
        <f t="shared" si="29"/>
        <v>2.6037878819714366E-2</v>
      </c>
      <c r="L195" s="5">
        <f t="shared" si="30"/>
        <v>1.0415151527885744</v>
      </c>
      <c r="M195" s="67" t="str">
        <f t="shared" si="31"/>
        <v>Ok</v>
      </c>
      <c r="N195" s="67" t="str">
        <f t="shared" si="32"/>
        <v>Ok</v>
      </c>
    </row>
    <row r="196" spans="1:14" x14ac:dyDescent="0.25">
      <c r="A196">
        <v>150</v>
      </c>
      <c r="B196" s="24">
        <f t="shared" si="33"/>
        <v>22065</v>
      </c>
      <c r="C196" s="99">
        <v>22197</v>
      </c>
      <c r="D196" s="58">
        <f t="shared" si="24"/>
        <v>132</v>
      </c>
      <c r="E196" s="1">
        <v>5.5</v>
      </c>
      <c r="F196" s="102">
        <f t="shared" si="25"/>
        <v>5.5E-2</v>
      </c>
      <c r="G196" s="72">
        <f t="shared" si="26"/>
        <v>16.751484856512249</v>
      </c>
      <c r="H196" s="5">
        <f t="shared" si="27"/>
        <v>24.360764054137459</v>
      </c>
      <c r="I196" s="57">
        <f t="shared" si="34"/>
        <v>9.3575165161214252E-5</v>
      </c>
      <c r="J196" s="5">
        <f t="shared" si="28"/>
        <v>1.2351921801280282E-2</v>
      </c>
      <c r="K196" s="5">
        <f t="shared" si="29"/>
        <v>6.1064238584180475E-2</v>
      </c>
      <c r="L196" s="5">
        <f t="shared" si="30"/>
        <v>2.4425695433672185</v>
      </c>
      <c r="M196" s="67" t="str">
        <f t="shared" si="31"/>
        <v>Ok</v>
      </c>
      <c r="N196" s="67" t="str">
        <f t="shared" si="32"/>
        <v>Ok</v>
      </c>
    </row>
    <row r="197" spans="1:14" x14ac:dyDescent="0.25">
      <c r="A197">
        <v>151</v>
      </c>
      <c r="B197" s="24">
        <f t="shared" si="33"/>
        <v>22197</v>
      </c>
      <c r="C197" s="99">
        <v>22325.8</v>
      </c>
      <c r="D197" s="58">
        <f t="shared" si="24"/>
        <v>128.79999999999927</v>
      </c>
      <c r="E197" s="1">
        <v>2</v>
      </c>
      <c r="F197" s="102">
        <f t="shared" si="25"/>
        <v>0.02</v>
      </c>
      <c r="G197" s="72">
        <f t="shared" si="26"/>
        <v>10.101525445522107</v>
      </c>
      <c r="H197" s="5">
        <f t="shared" si="27"/>
        <v>32.998235190667444</v>
      </c>
      <c r="I197" s="57">
        <f t="shared" si="34"/>
        <v>9.3575165161214306E-5</v>
      </c>
      <c r="J197" s="5">
        <f t="shared" si="28"/>
        <v>1.2052481272764334E-2</v>
      </c>
      <c r="K197" s="5">
        <f t="shared" si="29"/>
        <v>3.682312136226721E-2</v>
      </c>
      <c r="L197" s="5">
        <f t="shared" si="30"/>
        <v>1.4729248544906881</v>
      </c>
      <c r="M197" s="67" t="str">
        <f t="shared" si="31"/>
        <v>Ok</v>
      </c>
      <c r="N197" s="67" t="str">
        <f t="shared" si="32"/>
        <v>Ok</v>
      </c>
    </row>
    <row r="198" spans="1:14" x14ac:dyDescent="0.25">
      <c r="A198">
        <v>152</v>
      </c>
      <c r="B198" s="24">
        <f t="shared" si="33"/>
        <v>22325.8</v>
      </c>
      <c r="C198" s="100">
        <v>22390</v>
      </c>
      <c r="D198" s="58">
        <f t="shared" si="24"/>
        <v>64.200000000000728</v>
      </c>
      <c r="E198" s="1">
        <v>2</v>
      </c>
      <c r="F198" s="102">
        <f t="shared" si="25"/>
        <v>0.02</v>
      </c>
      <c r="G198" s="72">
        <f t="shared" si="26"/>
        <v>10.101525445522107</v>
      </c>
      <c r="H198" s="5">
        <f t="shared" si="27"/>
        <v>32.998235190667444</v>
      </c>
      <c r="I198" s="57">
        <f t="shared" si="34"/>
        <v>9.3575165161214306E-5</v>
      </c>
      <c r="J198" s="5">
        <f t="shared" si="28"/>
        <v>6.0075256033500267E-3</v>
      </c>
      <c r="K198" s="5">
        <f t="shared" si="29"/>
        <v>3.682312136226721E-2</v>
      </c>
      <c r="L198" s="5">
        <f t="shared" si="30"/>
        <v>1.4729248544906881</v>
      </c>
      <c r="M198" s="67" t="str">
        <f t="shared" si="31"/>
        <v>Ok</v>
      </c>
      <c r="N198" s="67" t="str">
        <f t="shared" si="32"/>
        <v>Ok</v>
      </c>
    </row>
    <row r="199" spans="1:14" x14ac:dyDescent="0.25">
      <c r="A199">
        <v>153</v>
      </c>
      <c r="B199" s="24">
        <f t="shared" si="33"/>
        <v>22390</v>
      </c>
      <c r="C199" s="99">
        <v>22420</v>
      </c>
      <c r="D199" s="58">
        <f t="shared" si="24"/>
        <v>30</v>
      </c>
      <c r="E199" s="1">
        <v>13.7</v>
      </c>
      <c r="F199" s="102">
        <f t="shared" si="25"/>
        <v>0.13699999999999998</v>
      </c>
      <c r="G199" s="72">
        <f t="shared" si="26"/>
        <v>26.438222176173923</v>
      </c>
      <c r="H199" s="5">
        <f t="shared" si="27"/>
        <v>18.526080300225566</v>
      </c>
      <c r="I199" s="57">
        <f t="shared" si="34"/>
        <v>9.3575165161214143E-5</v>
      </c>
      <c r="J199" s="5">
        <f t="shared" si="28"/>
        <v>2.8072549548364242E-3</v>
      </c>
      <c r="K199" s="5">
        <f t="shared" si="29"/>
        <v>9.6375331532466232E-2</v>
      </c>
      <c r="L199" s="5">
        <f t="shared" si="30"/>
        <v>3.8550132612986485</v>
      </c>
      <c r="M199" s="67" t="str">
        <f t="shared" si="31"/>
        <v>Ok</v>
      </c>
      <c r="N199" s="67" t="str">
        <f t="shared" si="32"/>
        <v>Ok</v>
      </c>
    </row>
    <row r="200" spans="1:14" x14ac:dyDescent="0.25">
      <c r="A200">
        <v>154</v>
      </c>
      <c r="B200" s="24">
        <f t="shared" si="33"/>
        <v>22420</v>
      </c>
      <c r="C200" s="100">
        <v>22470</v>
      </c>
      <c r="D200" s="58">
        <f t="shared" si="24"/>
        <v>50</v>
      </c>
      <c r="E200" s="1">
        <v>13.7</v>
      </c>
      <c r="F200" s="102">
        <f t="shared" si="25"/>
        <v>0.13699999999999998</v>
      </c>
      <c r="G200" s="72">
        <f t="shared" si="26"/>
        <v>26.438222176173923</v>
      </c>
      <c r="H200" s="5">
        <f t="shared" si="27"/>
        <v>18.526080300225566</v>
      </c>
      <c r="I200" s="57">
        <f t="shared" si="34"/>
        <v>9.3575165161214143E-5</v>
      </c>
      <c r="J200" s="5">
        <f t="shared" si="28"/>
        <v>4.6787582580607072E-3</v>
      </c>
      <c r="K200" s="5">
        <f t="shared" si="29"/>
        <v>9.6375331532466232E-2</v>
      </c>
      <c r="L200" s="5">
        <f t="shared" si="30"/>
        <v>3.8550132612986485</v>
      </c>
      <c r="M200" s="67" t="str">
        <f t="shared" si="31"/>
        <v>Ok</v>
      </c>
      <c r="N200" s="67" t="str">
        <f t="shared" si="32"/>
        <v>Ok</v>
      </c>
    </row>
    <row r="201" spans="1:14" x14ac:dyDescent="0.25">
      <c r="A201">
        <v>155</v>
      </c>
      <c r="B201" s="24">
        <f t="shared" si="33"/>
        <v>22470</v>
      </c>
      <c r="C201" s="99">
        <v>22527.200000000001</v>
      </c>
      <c r="D201" s="58">
        <f t="shared" si="24"/>
        <v>57.200000000000728</v>
      </c>
      <c r="E201" s="1">
        <v>1.4</v>
      </c>
      <c r="F201" s="102">
        <f t="shared" si="25"/>
        <v>1.3999999999999999E-2</v>
      </c>
      <c r="G201" s="72">
        <f t="shared" si="26"/>
        <v>8.4515425472851646</v>
      </c>
      <c r="H201" s="5">
        <f t="shared" si="27"/>
        <v>36.724957475685095</v>
      </c>
      <c r="I201" s="57">
        <f t="shared" si="34"/>
        <v>9.3575165161214265E-5</v>
      </c>
      <c r="J201" s="5">
        <f t="shared" si="28"/>
        <v>5.3524994472215238E-3</v>
      </c>
      <c r="K201" s="5">
        <f t="shared" si="29"/>
        <v>3.0808433696021969E-2</v>
      </c>
      <c r="L201" s="5">
        <f t="shared" si="30"/>
        <v>1.2323373478408786</v>
      </c>
      <c r="M201" s="67" t="str">
        <f t="shared" si="31"/>
        <v>Ok</v>
      </c>
      <c r="N201" s="67" t="str">
        <f t="shared" si="32"/>
        <v>Ok</v>
      </c>
    </row>
    <row r="202" spans="1:14" x14ac:dyDescent="0.25">
      <c r="A202">
        <v>156</v>
      </c>
      <c r="B202" s="24">
        <f t="shared" si="33"/>
        <v>22527.200000000001</v>
      </c>
      <c r="C202" s="99">
        <v>22649.1</v>
      </c>
      <c r="D202" s="58">
        <f t="shared" si="24"/>
        <v>121.89999999999782</v>
      </c>
      <c r="E202" s="1">
        <v>1.4</v>
      </c>
      <c r="F202" s="102">
        <f t="shared" si="25"/>
        <v>1.3999999999999999E-2</v>
      </c>
      <c r="G202" s="72">
        <f t="shared" si="26"/>
        <v>8.4515425472851646</v>
      </c>
      <c r="H202" s="5">
        <f t="shared" si="27"/>
        <v>36.724957475685095</v>
      </c>
      <c r="I202" s="57">
        <f t="shared" si="34"/>
        <v>9.3575165161214265E-5</v>
      </c>
      <c r="J202" s="5">
        <f t="shared" si="28"/>
        <v>1.1406812633151815E-2</v>
      </c>
      <c r="K202" s="5">
        <f t="shared" si="29"/>
        <v>3.0808433696021969E-2</v>
      </c>
      <c r="L202" s="5">
        <f t="shared" si="30"/>
        <v>1.2323373478408786</v>
      </c>
      <c r="M202" s="67" t="str">
        <f t="shared" si="31"/>
        <v>Ok</v>
      </c>
      <c r="N202" s="67" t="str">
        <f t="shared" si="32"/>
        <v>Ok</v>
      </c>
    </row>
    <row r="203" spans="1:14" x14ac:dyDescent="0.25">
      <c r="A203">
        <v>157</v>
      </c>
      <c r="B203" s="24">
        <f t="shared" si="33"/>
        <v>22649.1</v>
      </c>
      <c r="C203" s="99">
        <v>22730</v>
      </c>
      <c r="D203" s="58">
        <f t="shared" si="24"/>
        <v>80.900000000001455</v>
      </c>
      <c r="E203" s="1">
        <v>1.4</v>
      </c>
      <c r="F203" s="102">
        <f t="shared" si="25"/>
        <v>1.3999999999999999E-2</v>
      </c>
      <c r="G203" s="72">
        <f t="shared" si="26"/>
        <v>8.4515425472851646</v>
      </c>
      <c r="H203" s="5">
        <f t="shared" si="27"/>
        <v>36.724957475685095</v>
      </c>
      <c r="I203" s="57">
        <f t="shared" si="34"/>
        <v>9.3575165161214265E-5</v>
      </c>
      <c r="J203" s="5">
        <f t="shared" si="28"/>
        <v>7.5702308615423703E-3</v>
      </c>
      <c r="K203" s="5">
        <f t="shared" si="29"/>
        <v>3.0808433696021969E-2</v>
      </c>
      <c r="L203" s="5">
        <f t="shared" si="30"/>
        <v>1.2323373478408786</v>
      </c>
      <c r="M203" s="67" t="str">
        <f t="shared" si="31"/>
        <v>Ok</v>
      </c>
      <c r="N203" s="67" t="str">
        <f t="shared" si="32"/>
        <v>Ok</v>
      </c>
    </row>
    <row r="204" spans="1:14" x14ac:dyDescent="0.25">
      <c r="A204">
        <v>158</v>
      </c>
      <c r="B204" s="24">
        <f t="shared" si="33"/>
        <v>22730</v>
      </c>
      <c r="C204" s="100">
        <v>22815</v>
      </c>
      <c r="D204" s="58">
        <f t="shared" si="24"/>
        <v>85</v>
      </c>
      <c r="E204" s="1">
        <v>1.4</v>
      </c>
      <c r="F204" s="102">
        <f t="shared" si="25"/>
        <v>1.3999999999999999E-2</v>
      </c>
      <c r="G204" s="72">
        <f t="shared" si="26"/>
        <v>8.4515425472851646</v>
      </c>
      <c r="H204" s="5">
        <f t="shared" si="27"/>
        <v>36.724957475685095</v>
      </c>
      <c r="I204" s="57">
        <f t="shared" si="34"/>
        <v>9.3575165161214265E-5</v>
      </c>
      <c r="J204" s="5">
        <f t="shared" si="28"/>
        <v>7.953889038703213E-3</v>
      </c>
      <c r="K204" s="5">
        <f t="shared" si="29"/>
        <v>3.0808433696021969E-2</v>
      </c>
      <c r="L204" s="5">
        <f t="shared" si="30"/>
        <v>1.2323373478408786</v>
      </c>
      <c r="M204" s="67" t="str">
        <f t="shared" si="31"/>
        <v>Ok</v>
      </c>
      <c r="N204" s="67" t="str">
        <f t="shared" si="32"/>
        <v>Ok</v>
      </c>
    </row>
    <row r="205" spans="1:14" x14ac:dyDescent="0.25">
      <c r="A205">
        <v>159</v>
      </c>
      <c r="B205" s="24">
        <f t="shared" si="33"/>
        <v>22815</v>
      </c>
      <c r="C205" s="100">
        <v>23015</v>
      </c>
      <c r="D205" s="58">
        <f t="shared" si="24"/>
        <v>200</v>
      </c>
      <c r="E205" s="1">
        <v>4.8</v>
      </c>
      <c r="F205" s="102">
        <f t="shared" si="25"/>
        <v>4.8000000000000001E-2</v>
      </c>
      <c r="G205" s="72">
        <f t="shared" si="26"/>
        <v>15.649215928719032</v>
      </c>
      <c r="H205" s="5">
        <f t="shared" si="27"/>
        <v>25.376243973830626</v>
      </c>
      <c r="I205" s="57">
        <f t="shared" si="34"/>
        <v>9.3575165161214225E-5</v>
      </c>
      <c r="J205" s="5">
        <f t="shared" si="28"/>
        <v>1.8715033032242846E-2</v>
      </c>
      <c r="K205" s="5">
        <f t="shared" si="29"/>
        <v>5.7046134316574196E-2</v>
      </c>
      <c r="L205" s="5">
        <f t="shared" si="30"/>
        <v>2.2818453726629673</v>
      </c>
      <c r="M205" s="67" t="str">
        <f t="shared" si="31"/>
        <v>Ok</v>
      </c>
      <c r="N205" s="67" t="str">
        <f t="shared" si="32"/>
        <v>Ok</v>
      </c>
    </row>
    <row r="206" spans="1:14" x14ac:dyDescent="0.25">
      <c r="A206">
        <v>160</v>
      </c>
      <c r="B206" s="24">
        <f t="shared" si="33"/>
        <v>23015</v>
      </c>
      <c r="C206" s="99">
        <v>23131.9</v>
      </c>
      <c r="D206" s="58">
        <f t="shared" si="24"/>
        <v>116.90000000000146</v>
      </c>
      <c r="E206" s="1">
        <v>11.1</v>
      </c>
      <c r="F206" s="102">
        <f t="shared" si="25"/>
        <v>0.111</v>
      </c>
      <c r="G206" s="72">
        <f t="shared" si="26"/>
        <v>23.797616069939544</v>
      </c>
      <c r="H206" s="5">
        <f t="shared" si="27"/>
        <v>19.733440868776377</v>
      </c>
      <c r="I206" s="57">
        <f t="shared" si="34"/>
        <v>9.3575165161214347E-5</v>
      </c>
      <c r="J206" s="5">
        <f t="shared" si="28"/>
        <v>1.0938936807346093E-2</v>
      </c>
      <c r="K206" s="5">
        <f t="shared" si="29"/>
        <v>8.6749522079804228E-2</v>
      </c>
      <c r="L206" s="5">
        <f t="shared" si="30"/>
        <v>3.4699808831921684</v>
      </c>
      <c r="M206" s="67" t="str">
        <f t="shared" si="31"/>
        <v>Ok</v>
      </c>
      <c r="N206" s="67" t="str">
        <f t="shared" si="32"/>
        <v>Ok</v>
      </c>
    </row>
    <row r="207" spans="1:14" x14ac:dyDescent="0.25">
      <c r="A207">
        <v>161</v>
      </c>
      <c r="B207" s="24">
        <f t="shared" si="33"/>
        <v>23131.9</v>
      </c>
      <c r="C207" s="99">
        <v>23206.7</v>
      </c>
      <c r="D207" s="58">
        <f t="shared" si="24"/>
        <v>74.799999999999272</v>
      </c>
      <c r="E207" s="1">
        <v>8</v>
      </c>
      <c r="F207" s="102">
        <f t="shared" si="25"/>
        <v>0.08</v>
      </c>
      <c r="G207" s="72">
        <f t="shared" si="26"/>
        <v>20.203050891044214</v>
      </c>
      <c r="H207" s="5">
        <f t="shared" si="27"/>
        <v>21.770716187815097</v>
      </c>
      <c r="I207" s="57">
        <f t="shared" si="34"/>
        <v>9.3575165161214293E-5</v>
      </c>
      <c r="J207" s="5">
        <f t="shared" si="28"/>
        <v>6.9994223540587614E-3</v>
      </c>
      <c r="K207" s="5">
        <f t="shared" si="29"/>
        <v>7.3646242724534419E-2</v>
      </c>
      <c r="L207" s="5">
        <f t="shared" si="30"/>
        <v>2.9458497089813762</v>
      </c>
      <c r="M207" s="67" t="str">
        <f t="shared" si="31"/>
        <v>Ok</v>
      </c>
      <c r="N207" s="67" t="str">
        <f t="shared" si="32"/>
        <v>Ok</v>
      </c>
    </row>
    <row r="208" spans="1:14" x14ac:dyDescent="0.25">
      <c r="A208">
        <v>162</v>
      </c>
      <c r="B208" s="24">
        <f t="shared" si="33"/>
        <v>23206.7</v>
      </c>
      <c r="C208" s="99">
        <v>23310.400000000001</v>
      </c>
      <c r="D208" s="58">
        <f t="shared" si="24"/>
        <v>103.70000000000073</v>
      </c>
      <c r="E208" s="1">
        <v>11.3</v>
      </c>
      <c r="F208" s="102">
        <f t="shared" si="25"/>
        <v>0.113</v>
      </c>
      <c r="G208" s="72">
        <f t="shared" si="26"/>
        <v>24.0110518771023</v>
      </c>
      <c r="H208" s="5">
        <f t="shared" si="27"/>
        <v>19.628005872513565</v>
      </c>
      <c r="I208" s="57">
        <f t="shared" si="34"/>
        <v>9.3575165161214428E-5</v>
      </c>
      <c r="J208" s="5">
        <f t="shared" si="28"/>
        <v>9.7037446272180035E-3</v>
      </c>
      <c r="K208" s="5">
        <f t="shared" si="29"/>
        <v>8.7527560275381083E-2</v>
      </c>
      <c r="L208" s="5">
        <f t="shared" si="30"/>
        <v>3.5011024110152427</v>
      </c>
      <c r="M208" s="67" t="str">
        <f t="shared" si="31"/>
        <v>Ok</v>
      </c>
      <c r="N208" s="67" t="str">
        <f t="shared" si="32"/>
        <v>Ok</v>
      </c>
    </row>
    <row r="209" spans="1:14" x14ac:dyDescent="0.25">
      <c r="A209">
        <v>163</v>
      </c>
      <c r="B209" s="24">
        <f t="shared" si="33"/>
        <v>23310.400000000001</v>
      </c>
      <c r="C209" s="100">
        <v>23340</v>
      </c>
      <c r="D209" s="58">
        <f t="shared" si="24"/>
        <v>29.599999999998545</v>
      </c>
      <c r="E209" s="1">
        <v>11.3</v>
      </c>
      <c r="F209" s="102">
        <f t="shared" si="25"/>
        <v>0.113</v>
      </c>
      <c r="G209" s="72">
        <f t="shared" si="26"/>
        <v>24.0110518771023</v>
      </c>
      <c r="H209" s="5">
        <f t="shared" si="27"/>
        <v>19.628005872513565</v>
      </c>
      <c r="I209" s="57">
        <f t="shared" si="34"/>
        <v>9.3575165161214428E-5</v>
      </c>
      <c r="J209" s="5">
        <f t="shared" si="28"/>
        <v>2.7698248887718111E-3</v>
      </c>
      <c r="K209" s="5">
        <f t="shared" si="29"/>
        <v>8.7527560275381083E-2</v>
      </c>
      <c r="L209" s="5">
        <f t="shared" si="30"/>
        <v>3.5011024110152427</v>
      </c>
      <c r="M209" s="67" t="str">
        <f t="shared" si="31"/>
        <v>Ok</v>
      </c>
      <c r="N209" s="67" t="str">
        <f t="shared" si="32"/>
        <v>Ok</v>
      </c>
    </row>
    <row r="210" spans="1:14" x14ac:dyDescent="0.25">
      <c r="A210">
        <v>164</v>
      </c>
      <c r="B210" s="24">
        <f t="shared" si="33"/>
        <v>23340</v>
      </c>
      <c r="C210" s="99">
        <v>23390</v>
      </c>
      <c r="D210" s="58">
        <f t="shared" si="24"/>
        <v>50</v>
      </c>
      <c r="E210" s="1">
        <v>4</v>
      </c>
      <c r="F210" s="102">
        <f t="shared" si="25"/>
        <v>0.04</v>
      </c>
      <c r="G210" s="72">
        <f t="shared" si="26"/>
        <v>14.285714285714286</v>
      </c>
      <c r="H210" s="5">
        <f t="shared" si="27"/>
        <v>26.802895609146294</v>
      </c>
      <c r="I210" s="57">
        <f t="shared" si="34"/>
        <v>9.3575165161214238E-5</v>
      </c>
      <c r="J210" s="5">
        <f t="shared" si="28"/>
        <v>4.6787582580607116E-3</v>
      </c>
      <c r="K210" s="5">
        <f t="shared" si="29"/>
        <v>5.2075757639428732E-2</v>
      </c>
      <c r="L210" s="5">
        <f t="shared" si="30"/>
        <v>2.0830303055771489</v>
      </c>
      <c r="M210" s="67" t="str">
        <f t="shared" si="31"/>
        <v>Ok</v>
      </c>
      <c r="N210" s="67" t="str">
        <f t="shared" si="32"/>
        <v>Ok</v>
      </c>
    </row>
    <row r="211" spans="1:14" x14ac:dyDescent="0.25">
      <c r="A211">
        <v>165</v>
      </c>
      <c r="B211" s="24">
        <f t="shared" si="33"/>
        <v>23390</v>
      </c>
      <c r="C211" s="99">
        <v>23505</v>
      </c>
      <c r="D211" s="58">
        <f t="shared" si="24"/>
        <v>115</v>
      </c>
      <c r="E211" s="1">
        <v>4</v>
      </c>
      <c r="F211" s="102">
        <f t="shared" si="25"/>
        <v>0.04</v>
      </c>
      <c r="G211" s="72">
        <f t="shared" si="26"/>
        <v>14.285714285714286</v>
      </c>
      <c r="H211" s="5">
        <f t="shared" si="27"/>
        <v>26.802895609146294</v>
      </c>
      <c r="I211" s="57">
        <f t="shared" si="34"/>
        <v>9.3575165161214238E-5</v>
      </c>
      <c r="J211" s="5">
        <f t="shared" si="28"/>
        <v>1.0761143993539637E-2</v>
      </c>
      <c r="K211" s="5">
        <f t="shared" si="29"/>
        <v>5.2075757639428732E-2</v>
      </c>
      <c r="L211" s="5">
        <f t="shared" si="30"/>
        <v>2.0830303055771489</v>
      </c>
      <c r="M211" s="67" t="str">
        <f t="shared" si="31"/>
        <v>Ok</v>
      </c>
      <c r="N211" s="67" t="str">
        <f t="shared" si="32"/>
        <v>Ok</v>
      </c>
    </row>
    <row r="212" spans="1:14" x14ac:dyDescent="0.25">
      <c r="A212">
        <v>166</v>
      </c>
      <c r="B212" s="24">
        <f t="shared" si="33"/>
        <v>23505</v>
      </c>
      <c r="C212" s="99">
        <v>23619</v>
      </c>
      <c r="D212" s="58">
        <f t="shared" si="24"/>
        <v>114</v>
      </c>
      <c r="E212" s="1">
        <v>6.1</v>
      </c>
      <c r="F212" s="102">
        <f t="shared" si="25"/>
        <v>6.0999999999999999E-2</v>
      </c>
      <c r="G212" s="72">
        <f t="shared" si="26"/>
        <v>17.6415557646121</v>
      </c>
      <c r="H212" s="5">
        <f t="shared" si="27"/>
        <v>23.615696662974351</v>
      </c>
      <c r="I212" s="57">
        <f t="shared" si="34"/>
        <v>9.3575165161214333E-5</v>
      </c>
      <c r="J212" s="5">
        <f t="shared" si="28"/>
        <v>1.0667568828378434E-2</v>
      </c>
      <c r="K212" s="5">
        <f t="shared" si="29"/>
        <v>6.430881676662846E-2</v>
      </c>
      <c r="L212" s="5">
        <f t="shared" si="30"/>
        <v>2.5723526706651381</v>
      </c>
      <c r="M212" s="67" t="str">
        <f t="shared" si="31"/>
        <v>Ok</v>
      </c>
      <c r="N212" s="67" t="str">
        <f t="shared" si="32"/>
        <v>Ok</v>
      </c>
    </row>
    <row r="213" spans="1:14" x14ac:dyDescent="0.25">
      <c r="A213">
        <v>167</v>
      </c>
      <c r="B213" s="24">
        <f t="shared" si="33"/>
        <v>23619</v>
      </c>
      <c r="C213" s="100">
        <v>23770</v>
      </c>
      <c r="D213" s="58">
        <f t="shared" si="24"/>
        <v>151</v>
      </c>
      <c r="E213" s="1">
        <v>12.2</v>
      </c>
      <c r="F213" s="102">
        <f t="shared" si="25"/>
        <v>0.122</v>
      </c>
      <c r="G213" s="72">
        <f t="shared" si="26"/>
        <v>24.948927423675688</v>
      </c>
      <c r="H213" s="5">
        <f t="shared" si="27"/>
        <v>19.181906206122871</v>
      </c>
      <c r="I213" s="57">
        <f t="shared" si="34"/>
        <v>9.3575165161214401E-5</v>
      </c>
      <c r="J213" s="5">
        <f t="shared" si="28"/>
        <v>1.4129849939343374E-2</v>
      </c>
      <c r="K213" s="5">
        <f t="shared" si="29"/>
        <v>9.0946400851532258E-2</v>
      </c>
      <c r="L213" s="5">
        <f t="shared" si="30"/>
        <v>3.6378560340612895</v>
      </c>
      <c r="M213" s="67" t="str">
        <f t="shared" si="31"/>
        <v>Ok</v>
      </c>
      <c r="N213" s="67" t="str">
        <f t="shared" si="32"/>
        <v>Ok</v>
      </c>
    </row>
    <row r="214" spans="1:14" x14ac:dyDescent="0.25">
      <c r="A214">
        <v>168</v>
      </c>
      <c r="B214" s="24">
        <f t="shared" si="33"/>
        <v>23770</v>
      </c>
      <c r="C214" s="99">
        <v>23881.7</v>
      </c>
      <c r="D214" s="58">
        <f t="shared" si="24"/>
        <v>111.70000000000073</v>
      </c>
      <c r="E214" s="1">
        <v>2.9</v>
      </c>
      <c r="F214" s="102">
        <f t="shared" si="25"/>
        <v>2.8999999999999998E-2</v>
      </c>
      <c r="G214" s="72">
        <f t="shared" si="26"/>
        <v>12.163847404233142</v>
      </c>
      <c r="H214" s="5">
        <f t="shared" si="27"/>
        <v>29.517550363889718</v>
      </c>
      <c r="I214" s="57">
        <f t="shared" si="34"/>
        <v>9.3575165161214252E-5</v>
      </c>
      <c r="J214" s="5">
        <f t="shared" si="28"/>
        <v>1.04523459485077E-2</v>
      </c>
      <c r="K214" s="5">
        <f t="shared" si="29"/>
        <v>4.434090985700876E-2</v>
      </c>
      <c r="L214" s="5">
        <f t="shared" si="30"/>
        <v>1.7736363942803501</v>
      </c>
      <c r="M214" s="67" t="str">
        <f t="shared" si="31"/>
        <v>Ok</v>
      </c>
      <c r="N214" s="67" t="str">
        <f t="shared" si="32"/>
        <v>Ok</v>
      </c>
    </row>
    <row r="215" spans="1:14" x14ac:dyDescent="0.25">
      <c r="A215">
        <v>169</v>
      </c>
      <c r="B215" s="24">
        <f t="shared" si="33"/>
        <v>23881.7</v>
      </c>
      <c r="C215" s="99">
        <v>24008.2</v>
      </c>
      <c r="D215" s="58">
        <f t="shared" si="24"/>
        <v>126.5</v>
      </c>
      <c r="E215" s="1">
        <v>2.9</v>
      </c>
      <c r="F215" s="102">
        <f t="shared" si="25"/>
        <v>2.8999999999999998E-2</v>
      </c>
      <c r="G215" s="72">
        <f t="shared" si="26"/>
        <v>12.163847404233142</v>
      </c>
      <c r="H215" s="5">
        <f t="shared" si="27"/>
        <v>29.517550363889718</v>
      </c>
      <c r="I215" s="57">
        <f t="shared" si="34"/>
        <v>9.3575165161214252E-5</v>
      </c>
      <c r="J215" s="5">
        <f t="shared" si="28"/>
        <v>1.1837258392893603E-2</v>
      </c>
      <c r="K215" s="5">
        <f t="shared" si="29"/>
        <v>4.434090985700876E-2</v>
      </c>
      <c r="L215" s="5">
        <f t="shared" si="30"/>
        <v>1.7736363942803501</v>
      </c>
      <c r="M215" s="67" t="str">
        <f t="shared" si="31"/>
        <v>Ok</v>
      </c>
      <c r="N215" s="67" t="str">
        <f t="shared" si="32"/>
        <v>Ok</v>
      </c>
    </row>
    <row r="216" spans="1:14" x14ac:dyDescent="0.25">
      <c r="A216">
        <v>170</v>
      </c>
      <c r="B216" s="24">
        <f t="shared" si="33"/>
        <v>24008.2</v>
      </c>
      <c r="C216" s="99">
        <v>24094</v>
      </c>
      <c r="D216" s="58">
        <f t="shared" si="24"/>
        <v>85.799999999999272</v>
      </c>
      <c r="E216" s="1">
        <v>2.9</v>
      </c>
      <c r="F216" s="102">
        <f t="shared" si="25"/>
        <v>2.8999999999999998E-2</v>
      </c>
      <c r="G216" s="72">
        <f t="shared" si="26"/>
        <v>12.163847404233142</v>
      </c>
      <c r="H216" s="5">
        <f t="shared" si="27"/>
        <v>29.517550363889718</v>
      </c>
      <c r="I216" s="57">
        <f t="shared" si="34"/>
        <v>9.3575165161214252E-5</v>
      </c>
      <c r="J216" s="5">
        <f t="shared" si="28"/>
        <v>8.028749170832114E-3</v>
      </c>
      <c r="K216" s="5">
        <f t="shared" si="29"/>
        <v>4.434090985700876E-2</v>
      </c>
      <c r="L216" s="5">
        <f t="shared" si="30"/>
        <v>1.7736363942803501</v>
      </c>
      <c r="M216" s="67" t="str">
        <f t="shared" si="31"/>
        <v>Ok</v>
      </c>
      <c r="N216" s="67" t="str">
        <f t="shared" si="32"/>
        <v>Ok</v>
      </c>
    </row>
    <row r="217" spans="1:14" x14ac:dyDescent="0.25">
      <c r="A217">
        <v>171</v>
      </c>
      <c r="B217" s="24">
        <f t="shared" si="33"/>
        <v>24094</v>
      </c>
      <c r="C217" s="100">
        <v>24250</v>
      </c>
      <c r="D217" s="58">
        <f t="shared" si="24"/>
        <v>156</v>
      </c>
      <c r="E217" s="1">
        <v>15.6</v>
      </c>
      <c r="F217" s="102">
        <f t="shared" si="25"/>
        <v>0.156</v>
      </c>
      <c r="G217" s="72">
        <f t="shared" si="26"/>
        <v>28.212025225902138</v>
      </c>
      <c r="H217" s="5">
        <f t="shared" si="27"/>
        <v>17.818138598896628</v>
      </c>
      <c r="I217" s="57">
        <f t="shared" si="34"/>
        <v>9.3575165161214401E-5</v>
      </c>
      <c r="J217" s="5">
        <f t="shared" si="28"/>
        <v>1.4597725765149446E-2</v>
      </c>
      <c r="K217" s="5">
        <f t="shared" si="29"/>
        <v>0.10284138117270707</v>
      </c>
      <c r="L217" s="5">
        <f t="shared" si="30"/>
        <v>4.1136552469082819</v>
      </c>
      <c r="M217" s="67" t="str">
        <f t="shared" si="31"/>
        <v>Ok</v>
      </c>
      <c r="N217" s="67" t="str">
        <f t="shared" si="32"/>
        <v>Ok</v>
      </c>
    </row>
    <row r="218" spans="1:14" x14ac:dyDescent="0.25">
      <c r="A218">
        <v>172</v>
      </c>
      <c r="B218" s="24">
        <f t="shared" si="33"/>
        <v>24250</v>
      </c>
      <c r="C218" s="99">
        <v>24300.5</v>
      </c>
      <c r="D218" s="58">
        <f t="shared" si="24"/>
        <v>50.5</v>
      </c>
      <c r="E218" s="1">
        <v>9.1</v>
      </c>
      <c r="F218" s="102">
        <f t="shared" si="25"/>
        <v>9.0999999999999998E-2</v>
      </c>
      <c r="G218" s="72">
        <f t="shared" si="26"/>
        <v>21.547290184283366</v>
      </c>
      <c r="H218" s="5">
        <f t="shared" si="27"/>
        <v>20.945334215284767</v>
      </c>
      <c r="I218" s="57">
        <f t="shared" si="34"/>
        <v>9.3575165161214211E-5</v>
      </c>
      <c r="J218" s="5">
        <f t="shared" si="28"/>
        <v>4.7255458406413172E-3</v>
      </c>
      <c r="K218" s="5">
        <f t="shared" si="29"/>
        <v>7.8546402299622758E-2</v>
      </c>
      <c r="L218" s="5">
        <f t="shared" si="30"/>
        <v>3.1418560919849097</v>
      </c>
      <c r="M218" s="67" t="str">
        <f t="shared" si="31"/>
        <v>Ok</v>
      </c>
      <c r="N218" s="67" t="str">
        <f t="shared" si="32"/>
        <v>Ok</v>
      </c>
    </row>
    <row r="219" spans="1:14" x14ac:dyDescent="0.25">
      <c r="A219">
        <v>173</v>
      </c>
      <c r="B219" s="24">
        <f t="shared" si="33"/>
        <v>24300.5</v>
      </c>
      <c r="C219" s="99">
        <v>24422</v>
      </c>
      <c r="D219" s="58">
        <f t="shared" si="24"/>
        <v>121.5</v>
      </c>
      <c r="E219" s="1">
        <v>9.1</v>
      </c>
      <c r="F219" s="102">
        <f t="shared" si="25"/>
        <v>9.0999999999999998E-2</v>
      </c>
      <c r="G219" s="72">
        <f t="shared" si="26"/>
        <v>21.547290184283366</v>
      </c>
      <c r="H219" s="5">
        <f t="shared" si="27"/>
        <v>20.945334215284767</v>
      </c>
      <c r="I219" s="57">
        <f t="shared" si="34"/>
        <v>9.3575165161214211E-5</v>
      </c>
      <c r="J219" s="5">
        <f t="shared" si="28"/>
        <v>1.1369382567087527E-2</v>
      </c>
      <c r="K219" s="5">
        <f t="shared" si="29"/>
        <v>7.8546402299622758E-2</v>
      </c>
      <c r="L219" s="5">
        <f t="shared" si="30"/>
        <v>3.1418560919849097</v>
      </c>
      <c r="M219" s="67" t="str">
        <f t="shared" si="31"/>
        <v>Ok</v>
      </c>
      <c r="N219" s="67" t="str">
        <f t="shared" si="32"/>
        <v>Ok</v>
      </c>
    </row>
    <row r="220" spans="1:14" x14ac:dyDescent="0.25">
      <c r="A220">
        <v>174</v>
      </c>
      <c r="B220" s="24">
        <f t="shared" si="33"/>
        <v>24422</v>
      </c>
      <c r="C220" s="100">
        <v>24470</v>
      </c>
      <c r="D220" s="58">
        <f t="shared" si="24"/>
        <v>48</v>
      </c>
      <c r="E220" s="1">
        <v>2</v>
      </c>
      <c r="F220" s="102">
        <f t="shared" si="25"/>
        <v>0.02</v>
      </c>
      <c r="G220" s="72">
        <f t="shared" si="26"/>
        <v>10.101525445522107</v>
      </c>
      <c r="H220" s="5">
        <f t="shared" si="27"/>
        <v>32.998235190667444</v>
      </c>
      <c r="I220" s="57">
        <f t="shared" si="34"/>
        <v>9.3575165161214306E-5</v>
      </c>
      <c r="J220" s="5">
        <f t="shared" si="28"/>
        <v>4.4916079277382871E-3</v>
      </c>
      <c r="K220" s="5">
        <f t="shared" si="29"/>
        <v>3.682312136226721E-2</v>
      </c>
      <c r="L220" s="5">
        <f t="shared" si="30"/>
        <v>1.4729248544906881</v>
      </c>
      <c r="M220" s="67" t="str">
        <f t="shared" si="31"/>
        <v>Ok</v>
      </c>
      <c r="N220" s="67" t="str">
        <f t="shared" si="32"/>
        <v>Ok</v>
      </c>
    </row>
    <row r="221" spans="1:14" x14ac:dyDescent="0.25">
      <c r="A221">
        <v>175</v>
      </c>
      <c r="B221" s="24">
        <f t="shared" si="33"/>
        <v>24470</v>
      </c>
      <c r="C221" s="99">
        <v>24526.1</v>
      </c>
      <c r="D221" s="58">
        <f t="shared" si="24"/>
        <v>56.099999999998545</v>
      </c>
      <c r="E221" s="1">
        <v>15.9</v>
      </c>
      <c r="F221" s="102">
        <f t="shared" si="25"/>
        <v>0.159</v>
      </c>
      <c r="G221" s="72">
        <f t="shared" si="26"/>
        <v>28.482002910538409</v>
      </c>
      <c r="H221" s="5">
        <f t="shared" si="27"/>
        <v>17.716607958089277</v>
      </c>
      <c r="I221" s="57">
        <f t="shared" si="34"/>
        <v>9.3575165161214293E-5</v>
      </c>
      <c r="J221" s="5">
        <f t="shared" si="28"/>
        <v>5.2495667655439856E-3</v>
      </c>
      <c r="K221" s="5">
        <f t="shared" si="29"/>
        <v>0.10382553164582914</v>
      </c>
      <c r="L221" s="5">
        <f t="shared" si="30"/>
        <v>4.1530212658331651</v>
      </c>
      <c r="M221" s="67" t="str">
        <f t="shared" si="31"/>
        <v>Ok</v>
      </c>
      <c r="N221" s="67" t="str">
        <f t="shared" si="32"/>
        <v>Ok</v>
      </c>
    </row>
    <row r="222" spans="1:14" x14ac:dyDescent="0.25">
      <c r="A222">
        <v>176</v>
      </c>
      <c r="B222" s="24">
        <f t="shared" si="33"/>
        <v>24526.1</v>
      </c>
      <c r="C222" s="99">
        <v>24618.5</v>
      </c>
      <c r="D222" s="58">
        <f t="shared" si="24"/>
        <v>92.400000000001455</v>
      </c>
      <c r="E222" s="1">
        <v>15.9</v>
      </c>
      <c r="F222" s="102">
        <f t="shared" si="25"/>
        <v>0.159</v>
      </c>
      <c r="G222" s="72">
        <f t="shared" si="26"/>
        <v>28.482002910538409</v>
      </c>
      <c r="H222" s="5">
        <f t="shared" si="27"/>
        <v>17.716607958089277</v>
      </c>
      <c r="I222" s="57">
        <f t="shared" si="34"/>
        <v>9.3575165161214293E-5</v>
      </c>
      <c r="J222" s="5">
        <f t="shared" si="28"/>
        <v>8.6463452608963372E-3</v>
      </c>
      <c r="K222" s="5">
        <f t="shared" si="29"/>
        <v>0.10382553164582914</v>
      </c>
      <c r="L222" s="5">
        <f t="shared" si="30"/>
        <v>4.1530212658331651</v>
      </c>
      <c r="M222" s="67" t="str">
        <f t="shared" si="31"/>
        <v>Ok</v>
      </c>
      <c r="N222" s="67" t="str">
        <f t="shared" si="32"/>
        <v>Ok</v>
      </c>
    </row>
    <row r="223" spans="1:14" x14ac:dyDescent="0.25">
      <c r="A223">
        <v>177</v>
      </c>
      <c r="B223" s="24">
        <f t="shared" si="33"/>
        <v>24618.5</v>
      </c>
      <c r="C223" s="100">
        <v>24715</v>
      </c>
      <c r="D223" s="58">
        <f t="shared" si="24"/>
        <v>96.5</v>
      </c>
      <c r="E223" s="1">
        <v>7.1</v>
      </c>
      <c r="F223" s="102">
        <f t="shared" si="25"/>
        <v>7.0999999999999994E-2</v>
      </c>
      <c r="G223" s="72">
        <f t="shared" si="26"/>
        <v>19.032732277820323</v>
      </c>
      <c r="H223" s="5">
        <f t="shared" si="27"/>
        <v>22.564317794557393</v>
      </c>
      <c r="I223" s="57">
        <f t="shared" si="34"/>
        <v>9.3575165161214306E-5</v>
      </c>
      <c r="J223" s="5">
        <f t="shared" si="28"/>
        <v>9.0300034380571808E-3</v>
      </c>
      <c r="K223" s="5">
        <f t="shared" si="29"/>
        <v>6.9380076732113244E-2</v>
      </c>
      <c r="L223" s="5">
        <f t="shared" si="30"/>
        <v>2.7752030692845291</v>
      </c>
      <c r="M223" s="67" t="str">
        <f t="shared" si="31"/>
        <v>Ok</v>
      </c>
      <c r="N223" s="67" t="str">
        <f t="shared" si="32"/>
        <v>Ok</v>
      </c>
    </row>
    <row r="224" spans="1:14" x14ac:dyDescent="0.25">
      <c r="A224">
        <v>178</v>
      </c>
      <c r="B224" s="24">
        <f t="shared" si="33"/>
        <v>24715</v>
      </c>
      <c r="C224" s="99">
        <v>24746.400000000001</v>
      </c>
      <c r="D224" s="58">
        <f t="shared" si="24"/>
        <v>31.400000000001455</v>
      </c>
      <c r="E224" s="1">
        <v>0.6</v>
      </c>
      <c r="F224" s="102">
        <f t="shared" si="25"/>
        <v>6.0000000000000001E-3</v>
      </c>
      <c r="G224" s="72">
        <f t="shared" si="26"/>
        <v>5.5328333517248813</v>
      </c>
      <c r="H224" s="5">
        <f t="shared" si="27"/>
        <v>47.353745657742145</v>
      </c>
      <c r="I224" s="57">
        <f t="shared" si="34"/>
        <v>9.3575165161214306E-5</v>
      </c>
      <c r="J224" s="5">
        <f t="shared" si="28"/>
        <v>2.9382601860622653E-3</v>
      </c>
      <c r="K224" s="5">
        <f t="shared" si="29"/>
        <v>2.0168854207864115E-2</v>
      </c>
      <c r="L224" s="5">
        <f t="shared" si="30"/>
        <v>0.80675416831456448</v>
      </c>
      <c r="M224" s="67" t="str">
        <f t="shared" si="31"/>
        <v>Ok</v>
      </c>
      <c r="N224" s="67" t="str">
        <f t="shared" si="32"/>
        <v>Ok</v>
      </c>
    </row>
    <row r="225" spans="1:14" x14ac:dyDescent="0.25">
      <c r="A225">
        <v>179</v>
      </c>
      <c r="B225" s="24">
        <f t="shared" si="33"/>
        <v>24746.400000000001</v>
      </c>
      <c r="C225" s="100">
        <v>24840</v>
      </c>
      <c r="D225" s="58">
        <f t="shared" si="24"/>
        <v>93.599999999998545</v>
      </c>
      <c r="E225" s="1">
        <v>0.6</v>
      </c>
      <c r="F225" s="102">
        <f t="shared" si="25"/>
        <v>6.0000000000000001E-3</v>
      </c>
      <c r="G225" s="72">
        <f t="shared" si="26"/>
        <v>5.5328333517248813</v>
      </c>
      <c r="H225" s="5">
        <f t="shared" si="27"/>
        <v>47.353745657742145</v>
      </c>
      <c r="I225" s="57">
        <f t="shared" si="34"/>
        <v>9.3575165161214306E-5</v>
      </c>
      <c r="J225" s="5">
        <f t="shared" si="28"/>
        <v>8.7586354590895223E-3</v>
      </c>
      <c r="K225" s="5">
        <f t="shared" si="29"/>
        <v>2.0168854207864115E-2</v>
      </c>
      <c r="L225" s="5">
        <f t="shared" si="30"/>
        <v>0.80675416831456448</v>
      </c>
      <c r="M225" s="67" t="str">
        <f t="shared" si="31"/>
        <v>Ok</v>
      </c>
      <c r="N225" s="67" t="str">
        <f t="shared" si="32"/>
        <v>Ok</v>
      </c>
    </row>
    <row r="226" spans="1:14" x14ac:dyDescent="0.25">
      <c r="A226">
        <v>180</v>
      </c>
      <c r="B226" s="24">
        <f t="shared" si="33"/>
        <v>24840</v>
      </c>
      <c r="C226" s="99">
        <v>24917.200000000001</v>
      </c>
      <c r="D226" s="58">
        <f t="shared" si="24"/>
        <v>77.200000000000728</v>
      </c>
      <c r="E226" s="1">
        <v>11.2</v>
      </c>
      <c r="F226" s="102">
        <f t="shared" si="25"/>
        <v>0.11199999999999999</v>
      </c>
      <c r="G226" s="72">
        <f t="shared" si="26"/>
        <v>23.904572186687872</v>
      </c>
      <c r="H226" s="5">
        <f t="shared" si="27"/>
        <v>19.68041741760657</v>
      </c>
      <c r="I226" s="57">
        <f t="shared" si="34"/>
        <v>9.3575165161214171E-5</v>
      </c>
      <c r="J226" s="5">
        <f t="shared" si="28"/>
        <v>7.2240027504458021E-3</v>
      </c>
      <c r="K226" s="5">
        <f t="shared" si="29"/>
        <v>8.7139409536773058E-2</v>
      </c>
      <c r="L226" s="5">
        <f t="shared" si="30"/>
        <v>3.4855763814709215</v>
      </c>
      <c r="M226" s="67" t="str">
        <f t="shared" si="31"/>
        <v>Ok</v>
      </c>
      <c r="N226" s="67" t="str">
        <f t="shared" si="32"/>
        <v>Ok</v>
      </c>
    </row>
    <row r="227" spans="1:14" x14ac:dyDescent="0.25">
      <c r="A227">
        <v>181</v>
      </c>
      <c r="B227" s="24">
        <f t="shared" si="33"/>
        <v>24917.200000000001</v>
      </c>
      <c r="C227" s="100">
        <v>25015</v>
      </c>
      <c r="D227" s="58">
        <f t="shared" si="24"/>
        <v>97.799999999999272</v>
      </c>
      <c r="E227" s="1">
        <v>2.2000000000000002</v>
      </c>
      <c r="F227" s="102">
        <f t="shared" si="25"/>
        <v>2.2000000000000002E-2</v>
      </c>
      <c r="G227" s="72">
        <f t="shared" si="26"/>
        <v>10.594569267279518</v>
      </c>
      <c r="H227" s="5">
        <f t="shared" si="27"/>
        <v>32.068076284851728</v>
      </c>
      <c r="I227" s="57">
        <f t="shared" si="34"/>
        <v>9.3575165161214279E-5</v>
      </c>
      <c r="J227" s="5">
        <f t="shared" si="28"/>
        <v>9.1516511527666884E-3</v>
      </c>
      <c r="K227" s="5">
        <f t="shared" si="29"/>
        <v>3.8620415501989178E-2</v>
      </c>
      <c r="L227" s="5">
        <f t="shared" si="30"/>
        <v>1.5448166200795668</v>
      </c>
      <c r="M227" s="67" t="str">
        <f t="shared" si="31"/>
        <v>Ok</v>
      </c>
      <c r="N227" s="67" t="str">
        <f t="shared" si="32"/>
        <v>Ok</v>
      </c>
    </row>
    <row r="228" spans="1:14" x14ac:dyDescent="0.25">
      <c r="A228">
        <v>182</v>
      </c>
      <c r="B228" s="24">
        <f t="shared" si="33"/>
        <v>25015</v>
      </c>
      <c r="C228" s="99">
        <v>25071.9</v>
      </c>
      <c r="D228" s="58">
        <f t="shared" si="24"/>
        <v>56.900000000001455</v>
      </c>
      <c r="E228" s="1">
        <v>18</v>
      </c>
      <c r="F228" s="102">
        <f t="shared" si="25"/>
        <v>0.18</v>
      </c>
      <c r="G228" s="72">
        <f t="shared" si="26"/>
        <v>30.304576336566321</v>
      </c>
      <c r="H228" s="5">
        <f t="shared" si="27"/>
        <v>17.069388409218455</v>
      </c>
      <c r="I228" s="57">
        <f t="shared" si="34"/>
        <v>9.3575165161214198E-5</v>
      </c>
      <c r="J228" s="5">
        <f t="shared" si="28"/>
        <v>5.3244268976732241E-3</v>
      </c>
      <c r="K228" s="5">
        <f t="shared" si="29"/>
        <v>0.11046936408680164</v>
      </c>
      <c r="L228" s="5">
        <f t="shared" si="30"/>
        <v>4.4187745634720645</v>
      </c>
      <c r="M228" s="67" t="str">
        <f t="shared" si="31"/>
        <v>Ok</v>
      </c>
      <c r="N228" s="67" t="str">
        <f t="shared" si="32"/>
        <v>Ok</v>
      </c>
    </row>
    <row r="229" spans="1:14" x14ac:dyDescent="0.25">
      <c r="A229">
        <v>183</v>
      </c>
      <c r="B229" s="24">
        <f t="shared" si="33"/>
        <v>25071.9</v>
      </c>
      <c r="C229" s="100">
        <v>25230</v>
      </c>
      <c r="D229" s="58">
        <f t="shared" si="24"/>
        <v>158.09999999999854</v>
      </c>
      <c r="E229" s="1">
        <v>18</v>
      </c>
      <c r="F229" s="102">
        <f t="shared" si="25"/>
        <v>0.18</v>
      </c>
      <c r="G229" s="72">
        <f t="shared" si="26"/>
        <v>30.304576336566321</v>
      </c>
      <c r="H229" s="5">
        <f t="shared" si="27"/>
        <v>17.069388409218455</v>
      </c>
      <c r="I229" s="57">
        <f t="shared" si="34"/>
        <v>9.3575165161214198E-5</v>
      </c>
      <c r="J229" s="5">
        <f t="shared" si="28"/>
        <v>1.4794233611987829E-2</v>
      </c>
      <c r="K229" s="5">
        <f t="shared" si="29"/>
        <v>0.11046936408680164</v>
      </c>
      <c r="L229" s="5">
        <f t="shared" si="30"/>
        <v>4.4187745634720645</v>
      </c>
      <c r="M229" s="67" t="str">
        <f t="shared" si="31"/>
        <v>Ok</v>
      </c>
      <c r="N229" s="67" t="str">
        <f t="shared" si="32"/>
        <v>Ok</v>
      </c>
    </row>
    <row r="230" spans="1:14" x14ac:dyDescent="0.25">
      <c r="A230">
        <v>184</v>
      </c>
      <c r="B230" s="24">
        <f t="shared" si="33"/>
        <v>25230</v>
      </c>
      <c r="C230" s="99">
        <v>25478</v>
      </c>
      <c r="D230" s="58">
        <f t="shared" si="24"/>
        <v>248</v>
      </c>
      <c r="E230" s="1">
        <v>9.5</v>
      </c>
      <c r="F230" s="102">
        <f t="shared" si="25"/>
        <v>9.5000000000000001E-2</v>
      </c>
      <c r="G230" s="72">
        <f t="shared" si="26"/>
        <v>22.015764296317773</v>
      </c>
      <c r="H230" s="5">
        <f t="shared" si="27"/>
        <v>20.676766850215479</v>
      </c>
      <c r="I230" s="57">
        <f t="shared" si="34"/>
        <v>9.3575165161214252E-5</v>
      </c>
      <c r="J230" s="5">
        <f t="shared" si="28"/>
        <v>2.3206640959981133E-2</v>
      </c>
      <c r="K230" s="5">
        <f t="shared" si="29"/>
        <v>8.0254132401928288E-2</v>
      </c>
      <c r="L230" s="5">
        <f t="shared" si="30"/>
        <v>3.2101652960771307</v>
      </c>
      <c r="M230" s="67" t="str">
        <f t="shared" si="31"/>
        <v>Ok</v>
      </c>
      <c r="N230" s="67" t="str">
        <f t="shared" si="32"/>
        <v>Ok</v>
      </c>
    </row>
    <row r="231" spans="1:14" x14ac:dyDescent="0.25">
      <c r="A231">
        <v>185</v>
      </c>
      <c r="B231" s="24">
        <f t="shared" si="33"/>
        <v>25478</v>
      </c>
      <c r="C231" s="99">
        <v>25617.8</v>
      </c>
      <c r="D231" s="58">
        <f t="shared" si="24"/>
        <v>139.79999999999927</v>
      </c>
      <c r="E231" s="1">
        <v>9.5</v>
      </c>
      <c r="F231" s="102">
        <f t="shared" si="25"/>
        <v>9.5000000000000001E-2</v>
      </c>
      <c r="G231" s="72">
        <f t="shared" si="26"/>
        <v>22.015764296317773</v>
      </c>
      <c r="H231" s="5">
        <f t="shared" si="27"/>
        <v>20.676766850215479</v>
      </c>
      <c r="I231" s="57">
        <f t="shared" si="34"/>
        <v>9.3575165161214252E-5</v>
      </c>
      <c r="J231" s="5">
        <f t="shared" si="28"/>
        <v>1.3081808089537685E-2</v>
      </c>
      <c r="K231" s="5">
        <f t="shared" si="29"/>
        <v>8.0254132401928288E-2</v>
      </c>
      <c r="L231" s="5">
        <f t="shared" si="30"/>
        <v>3.2101652960771307</v>
      </c>
      <c r="M231" s="67" t="str">
        <f t="shared" si="31"/>
        <v>Ok</v>
      </c>
      <c r="N231" s="67" t="str">
        <f t="shared" si="32"/>
        <v>Ok</v>
      </c>
    </row>
    <row r="232" spans="1:14" x14ac:dyDescent="0.25">
      <c r="A232">
        <v>186</v>
      </c>
      <c r="B232" s="24">
        <f t="shared" si="33"/>
        <v>25617.8</v>
      </c>
      <c r="C232" s="100">
        <v>25835</v>
      </c>
      <c r="D232" s="58">
        <f t="shared" si="24"/>
        <v>217.20000000000073</v>
      </c>
      <c r="E232" s="1">
        <v>3.4</v>
      </c>
      <c r="F232" s="102">
        <f t="shared" si="25"/>
        <v>3.4000000000000002E-2</v>
      </c>
      <c r="G232" s="72">
        <f t="shared" si="26"/>
        <v>13.170777796132695</v>
      </c>
      <c r="H232" s="5">
        <f t="shared" si="27"/>
        <v>28.142069884581385</v>
      </c>
      <c r="I232" s="57">
        <f t="shared" si="34"/>
        <v>9.3575165161214238E-5</v>
      </c>
      <c r="J232" s="5">
        <f t="shared" si="28"/>
        <v>2.0324525873015802E-2</v>
      </c>
      <c r="K232" s="5">
        <f t="shared" si="29"/>
        <v>4.8011476270392289E-2</v>
      </c>
      <c r="L232" s="5">
        <f t="shared" si="30"/>
        <v>1.9204590508156911</v>
      </c>
      <c r="M232" s="67" t="str">
        <f t="shared" si="31"/>
        <v>Ok</v>
      </c>
      <c r="N232" s="67" t="str">
        <f t="shared" si="32"/>
        <v>Ok</v>
      </c>
    </row>
    <row r="233" spans="1:14" x14ac:dyDescent="0.25">
      <c r="A233">
        <v>187</v>
      </c>
      <c r="B233" s="24">
        <f t="shared" si="33"/>
        <v>25835</v>
      </c>
      <c r="C233" s="99">
        <v>25998.2</v>
      </c>
      <c r="D233" s="58">
        <f t="shared" si="24"/>
        <v>163.20000000000073</v>
      </c>
      <c r="E233" s="1">
        <v>12.2</v>
      </c>
      <c r="F233" s="102">
        <f t="shared" si="25"/>
        <v>0.122</v>
      </c>
      <c r="G233" s="72">
        <f t="shared" si="26"/>
        <v>24.948927423675688</v>
      </c>
      <c r="H233" s="5">
        <f t="shared" si="27"/>
        <v>19.181906206122871</v>
      </c>
      <c r="I233" s="57">
        <f t="shared" si="34"/>
        <v>9.3575165161214401E-5</v>
      </c>
      <c r="J233" s="5">
        <f t="shared" si="28"/>
        <v>1.5271466954310258E-2</v>
      </c>
      <c r="K233" s="5">
        <f t="shared" si="29"/>
        <v>9.0946400851532258E-2</v>
      </c>
      <c r="L233" s="5">
        <f t="shared" si="30"/>
        <v>3.6378560340612895</v>
      </c>
      <c r="M233" s="67" t="str">
        <f t="shared" si="31"/>
        <v>Ok</v>
      </c>
      <c r="N233" s="67" t="str">
        <f t="shared" si="32"/>
        <v>Ok</v>
      </c>
    </row>
    <row r="234" spans="1:14" x14ac:dyDescent="0.25">
      <c r="A234">
        <v>188</v>
      </c>
      <c r="B234" s="24">
        <f t="shared" si="33"/>
        <v>25998.2</v>
      </c>
      <c r="C234" s="100">
        <v>26105</v>
      </c>
      <c r="D234" s="58">
        <f t="shared" si="24"/>
        <v>106.79999999999927</v>
      </c>
      <c r="E234" s="1">
        <v>6.7</v>
      </c>
      <c r="F234" s="102">
        <f t="shared" si="25"/>
        <v>6.7000000000000004E-2</v>
      </c>
      <c r="G234" s="72">
        <f t="shared" si="26"/>
        <v>18.488827293635406</v>
      </c>
      <c r="H234" s="5">
        <f t="shared" si="27"/>
        <v>22.960284838091781</v>
      </c>
      <c r="I234" s="57">
        <f t="shared" si="34"/>
        <v>9.3575165161214347E-5</v>
      </c>
      <c r="J234" s="5">
        <f t="shared" si="28"/>
        <v>9.9938276392176235E-3</v>
      </c>
      <c r="K234" s="5">
        <f t="shared" si="29"/>
        <v>6.7397378242642872E-2</v>
      </c>
      <c r="L234" s="5">
        <f t="shared" si="30"/>
        <v>2.6958951297057143</v>
      </c>
      <c r="M234" s="67" t="str">
        <f t="shared" si="31"/>
        <v>Ok</v>
      </c>
      <c r="N234" s="67" t="str">
        <f t="shared" si="32"/>
        <v>Ok</v>
      </c>
    </row>
    <row r="235" spans="1:14" x14ac:dyDescent="0.25">
      <c r="A235">
        <v>189</v>
      </c>
      <c r="B235" s="24">
        <f t="shared" si="33"/>
        <v>26105</v>
      </c>
      <c r="C235" s="100">
        <v>26215</v>
      </c>
      <c r="D235" s="58">
        <f t="shared" si="24"/>
        <v>110</v>
      </c>
      <c r="E235" s="1">
        <v>18</v>
      </c>
      <c r="F235" s="102">
        <f t="shared" si="25"/>
        <v>0.18</v>
      </c>
      <c r="G235" s="72">
        <f t="shared" si="26"/>
        <v>30.304576336566321</v>
      </c>
      <c r="H235" s="5">
        <f t="shared" si="27"/>
        <v>17.069388409218455</v>
      </c>
      <c r="I235" s="57">
        <f t="shared" si="34"/>
        <v>9.3575165161214198E-5</v>
      </c>
      <c r="J235" s="5">
        <f t="shared" si="28"/>
        <v>1.0293268167733561E-2</v>
      </c>
      <c r="K235" s="5">
        <f t="shared" si="29"/>
        <v>0.11046936408680164</v>
      </c>
      <c r="L235" s="5">
        <f t="shared" si="30"/>
        <v>4.4187745634720645</v>
      </c>
      <c r="M235" s="67" t="str">
        <f t="shared" si="31"/>
        <v>Ok</v>
      </c>
      <c r="N235" s="67" t="str">
        <f t="shared" si="32"/>
        <v>Ok</v>
      </c>
    </row>
    <row r="236" spans="1:14" x14ac:dyDescent="0.25">
      <c r="A236">
        <v>190</v>
      </c>
      <c r="B236" s="24">
        <f t="shared" si="33"/>
        <v>26215</v>
      </c>
      <c r="C236" s="99">
        <v>26355</v>
      </c>
      <c r="D236" s="58">
        <f t="shared" si="24"/>
        <v>140</v>
      </c>
      <c r="E236" s="1">
        <v>4.5</v>
      </c>
      <c r="F236" s="102">
        <f t="shared" si="25"/>
        <v>4.4999999999999998E-2</v>
      </c>
      <c r="G236" s="72">
        <f t="shared" si="26"/>
        <v>15.15228816828316</v>
      </c>
      <c r="H236" s="5">
        <f t="shared" si="27"/>
        <v>25.87235479205297</v>
      </c>
      <c r="I236" s="57">
        <f t="shared" si="34"/>
        <v>9.3575165161214211E-5</v>
      </c>
      <c r="J236" s="5">
        <f t="shared" si="28"/>
        <v>1.310052312256999E-2</v>
      </c>
      <c r="K236" s="5">
        <f t="shared" si="29"/>
        <v>5.5234682043400818E-2</v>
      </c>
      <c r="L236" s="5">
        <f t="shared" si="30"/>
        <v>2.2093872817360323</v>
      </c>
      <c r="M236" s="67" t="str">
        <f t="shared" si="31"/>
        <v>Ok</v>
      </c>
      <c r="N236" s="67" t="str">
        <f t="shared" si="32"/>
        <v>Ok</v>
      </c>
    </row>
    <row r="237" spans="1:14" x14ac:dyDescent="0.25">
      <c r="A237">
        <v>191</v>
      </c>
      <c r="B237" s="24">
        <f t="shared" si="33"/>
        <v>26355</v>
      </c>
      <c r="C237" s="99">
        <v>26642.3</v>
      </c>
      <c r="D237" s="58">
        <f t="shared" si="24"/>
        <v>287.29999999999927</v>
      </c>
      <c r="E237" s="1">
        <v>4.5</v>
      </c>
      <c r="F237" s="102">
        <f t="shared" si="25"/>
        <v>4.4999999999999998E-2</v>
      </c>
      <c r="G237" s="72">
        <f t="shared" si="26"/>
        <v>15.15228816828316</v>
      </c>
      <c r="H237" s="5">
        <f t="shared" si="27"/>
        <v>25.87235479205297</v>
      </c>
      <c r="I237" s="57">
        <f t="shared" si="34"/>
        <v>9.3575165161214211E-5</v>
      </c>
      <c r="J237" s="5">
        <f t="shared" si="28"/>
        <v>2.6884144950816775E-2</v>
      </c>
      <c r="K237" s="5">
        <f t="shared" si="29"/>
        <v>5.5234682043400818E-2</v>
      </c>
      <c r="L237" s="5">
        <f t="shared" si="30"/>
        <v>2.2093872817360323</v>
      </c>
      <c r="M237" s="67" t="str">
        <f t="shared" si="31"/>
        <v>Ok</v>
      </c>
      <c r="N237" s="67" t="str">
        <f t="shared" si="32"/>
        <v>Ok</v>
      </c>
    </row>
    <row r="238" spans="1:14" x14ac:dyDescent="0.25">
      <c r="A238">
        <v>192</v>
      </c>
      <c r="B238" s="24">
        <f t="shared" si="33"/>
        <v>26642.3</v>
      </c>
      <c r="C238" s="100">
        <v>26755</v>
      </c>
      <c r="D238" s="58">
        <f t="shared" si="24"/>
        <v>112.70000000000073</v>
      </c>
      <c r="E238" s="1">
        <v>18</v>
      </c>
      <c r="F238" s="102">
        <f t="shared" si="25"/>
        <v>0.18</v>
      </c>
      <c r="G238" s="72">
        <f t="shared" si="26"/>
        <v>30.304576336566321</v>
      </c>
      <c r="H238" s="5">
        <f t="shared" si="27"/>
        <v>17.069388409218455</v>
      </c>
      <c r="I238" s="57">
        <f t="shared" si="34"/>
        <v>9.3575165161214198E-5</v>
      </c>
      <c r="J238" s="5">
        <f t="shared" si="28"/>
        <v>1.0545921113668907E-2</v>
      </c>
      <c r="K238" s="5">
        <f t="shared" si="29"/>
        <v>0.11046936408680164</v>
      </c>
      <c r="L238" s="5">
        <f t="shared" si="30"/>
        <v>4.4187745634720645</v>
      </c>
      <c r="M238" s="67" t="str">
        <f t="shared" si="31"/>
        <v>Ok</v>
      </c>
      <c r="N238" s="67" t="str">
        <f t="shared" si="32"/>
        <v>Ok</v>
      </c>
    </row>
    <row r="239" spans="1:14" x14ac:dyDescent="0.25">
      <c r="A239">
        <v>193</v>
      </c>
      <c r="B239" s="24">
        <f t="shared" si="33"/>
        <v>26755</v>
      </c>
      <c r="C239" s="100">
        <v>26965</v>
      </c>
      <c r="D239" s="58">
        <f t="shared" si="24"/>
        <v>210</v>
      </c>
      <c r="E239" s="1">
        <v>5.5</v>
      </c>
      <c r="F239" s="102">
        <f t="shared" si="25"/>
        <v>5.5E-2</v>
      </c>
      <c r="G239" s="72">
        <f t="shared" si="26"/>
        <v>16.751484856512249</v>
      </c>
      <c r="H239" s="5">
        <f t="shared" si="27"/>
        <v>24.360764054137459</v>
      </c>
      <c r="I239" s="57">
        <f t="shared" si="34"/>
        <v>9.3575165161214252E-5</v>
      </c>
      <c r="J239" s="5">
        <f t="shared" si="28"/>
        <v>1.9650784683854994E-2</v>
      </c>
      <c r="K239" s="5">
        <f t="shared" si="29"/>
        <v>6.1064238584180475E-2</v>
      </c>
      <c r="L239" s="5">
        <f t="shared" si="30"/>
        <v>2.4425695433672185</v>
      </c>
      <c r="M239" s="67" t="str">
        <f t="shared" si="31"/>
        <v>Ok</v>
      </c>
      <c r="N239" s="67" t="str">
        <f t="shared" si="32"/>
        <v>Ok</v>
      </c>
    </row>
    <row r="240" spans="1:14" x14ac:dyDescent="0.25">
      <c r="A240">
        <v>194</v>
      </c>
      <c r="B240" s="24">
        <f t="shared" si="33"/>
        <v>26965</v>
      </c>
      <c r="C240" s="99">
        <v>27014</v>
      </c>
      <c r="D240" s="58">
        <f t="shared" ref="D240:D252" si="35">C240-B240</f>
        <v>49</v>
      </c>
      <c r="E240" s="1">
        <v>10.1</v>
      </c>
      <c r="F240" s="102">
        <f t="shared" ref="F240:F252" si="36">E240/100</f>
        <v>0.10099999999999999</v>
      </c>
      <c r="G240" s="72">
        <f t="shared" ref="G240:G252" si="37">(F240^0.5)/$N$8</f>
        <v>22.700355117243863</v>
      </c>
      <c r="H240" s="5">
        <f t="shared" ref="H240:H252" si="38">($N$7/(G240*($I$38^(2/3))))^(3/5)</f>
        <v>20.300339458054104</v>
      </c>
      <c r="I240" s="57">
        <f t="shared" si="34"/>
        <v>9.357516516121432E-5</v>
      </c>
      <c r="J240" s="5">
        <f t="shared" ref="J240:J252" si="39">D240*I240</f>
        <v>4.5851830928995019E-3</v>
      </c>
      <c r="K240" s="5">
        <f t="shared" ref="K240:K252" si="40">(1/$N$8)*$N$28*(($N$28/$N$29)^(2/3))*(F240^0.5)</f>
        <v>8.2749673399019008E-2</v>
      </c>
      <c r="L240" s="5">
        <f t="shared" ref="L240:L252" si="41">K240/$D$28</f>
        <v>3.3099869359607599</v>
      </c>
      <c r="M240" s="67" t="str">
        <f t="shared" ref="M240:M252" si="42">IF(L240&gt;4.5,"Verificar","Ok")</f>
        <v>Ok</v>
      </c>
      <c r="N240" s="67" t="str">
        <f t="shared" ref="N240:N252" si="43">IF(K240&gt;J240,"Ok","Cambiar sección")</f>
        <v>Ok</v>
      </c>
    </row>
    <row r="241" spans="1:14" x14ac:dyDescent="0.25">
      <c r="A241">
        <v>195</v>
      </c>
      <c r="B241" s="24">
        <f t="shared" si="33"/>
        <v>27014</v>
      </c>
      <c r="C241" s="100">
        <v>27055</v>
      </c>
      <c r="D241" s="58">
        <f t="shared" si="35"/>
        <v>41</v>
      </c>
      <c r="E241" s="1">
        <v>10.1</v>
      </c>
      <c r="F241" s="102">
        <f t="shared" si="36"/>
        <v>0.10099999999999999</v>
      </c>
      <c r="G241" s="72">
        <f t="shared" si="37"/>
        <v>22.700355117243863</v>
      </c>
      <c r="H241" s="5">
        <f t="shared" si="38"/>
        <v>20.300339458054104</v>
      </c>
      <c r="I241" s="57">
        <f t="shared" si="34"/>
        <v>9.357516516121432E-5</v>
      </c>
      <c r="J241" s="5">
        <f t="shared" si="39"/>
        <v>3.8365817716097873E-3</v>
      </c>
      <c r="K241" s="5">
        <f t="shared" si="40"/>
        <v>8.2749673399019008E-2</v>
      </c>
      <c r="L241" s="5">
        <f t="shared" si="41"/>
        <v>3.3099869359607599</v>
      </c>
      <c r="M241" s="67" t="str">
        <f t="shared" si="42"/>
        <v>Ok</v>
      </c>
      <c r="N241" s="67" t="str">
        <f t="shared" si="43"/>
        <v>Ok</v>
      </c>
    </row>
    <row r="242" spans="1:14" x14ac:dyDescent="0.25">
      <c r="A242">
        <v>196</v>
      </c>
      <c r="B242" s="24">
        <f t="shared" ref="B242:B252" si="44">C241</f>
        <v>27055</v>
      </c>
      <c r="C242" s="99">
        <v>27141.200000000001</v>
      </c>
      <c r="D242" s="58">
        <f t="shared" si="35"/>
        <v>86.200000000000728</v>
      </c>
      <c r="E242" s="1">
        <v>0.6</v>
      </c>
      <c r="F242" s="102">
        <f t="shared" si="36"/>
        <v>6.0000000000000001E-3</v>
      </c>
      <c r="G242" s="72">
        <f t="shared" si="37"/>
        <v>5.5328333517248813</v>
      </c>
      <c r="H242" s="5">
        <f t="shared" si="38"/>
        <v>47.353745657742145</v>
      </c>
      <c r="I242" s="57">
        <f t="shared" si="34"/>
        <v>9.3575165161214306E-5</v>
      </c>
      <c r="J242" s="5">
        <f t="shared" si="39"/>
        <v>8.0661792368967415E-3</v>
      </c>
      <c r="K242" s="5">
        <f t="shared" si="40"/>
        <v>2.0168854207864115E-2</v>
      </c>
      <c r="L242" s="5">
        <f t="shared" si="41"/>
        <v>0.80675416831456448</v>
      </c>
      <c r="M242" s="67" t="str">
        <f t="shared" si="42"/>
        <v>Ok</v>
      </c>
      <c r="N242" s="67" t="str">
        <f t="shared" si="43"/>
        <v>Ok</v>
      </c>
    </row>
    <row r="243" spans="1:14" x14ac:dyDescent="0.25">
      <c r="A243">
        <v>197</v>
      </c>
      <c r="B243" s="24">
        <f t="shared" si="44"/>
        <v>27141.200000000001</v>
      </c>
      <c r="C243" s="100">
        <v>27315</v>
      </c>
      <c r="D243" s="58">
        <f t="shared" si="35"/>
        <v>173.79999999999927</v>
      </c>
      <c r="E243" s="1">
        <v>7.1</v>
      </c>
      <c r="F243" s="102">
        <f t="shared" si="36"/>
        <v>7.0999999999999994E-2</v>
      </c>
      <c r="G243" s="72">
        <f t="shared" si="37"/>
        <v>19.032732277820323</v>
      </c>
      <c r="H243" s="5">
        <f t="shared" si="38"/>
        <v>22.564317794557393</v>
      </c>
      <c r="I243" s="57">
        <f t="shared" si="34"/>
        <v>9.3575165161214306E-5</v>
      </c>
      <c r="J243" s="5">
        <f t="shared" si="39"/>
        <v>1.6263363705018977E-2</v>
      </c>
      <c r="K243" s="5">
        <f t="shared" si="40"/>
        <v>6.9380076732113244E-2</v>
      </c>
      <c r="L243" s="5">
        <f t="shared" si="41"/>
        <v>2.7752030692845291</v>
      </c>
      <c r="M243" s="67" t="str">
        <f t="shared" si="42"/>
        <v>Ok</v>
      </c>
      <c r="N243" s="67" t="str">
        <f t="shared" si="43"/>
        <v>Ok</v>
      </c>
    </row>
    <row r="244" spans="1:14" x14ac:dyDescent="0.25">
      <c r="A244">
        <v>198</v>
      </c>
      <c r="B244" s="24">
        <f t="shared" si="44"/>
        <v>27315</v>
      </c>
      <c r="C244" s="99">
        <v>27448.7</v>
      </c>
      <c r="D244" s="58">
        <f t="shared" si="35"/>
        <v>133.70000000000073</v>
      </c>
      <c r="E244" s="1">
        <v>4.8</v>
      </c>
      <c r="F244" s="102">
        <f t="shared" si="36"/>
        <v>4.8000000000000001E-2</v>
      </c>
      <c r="G244" s="72">
        <f t="shared" si="37"/>
        <v>15.649215928719032</v>
      </c>
      <c r="H244" s="5">
        <f t="shared" si="38"/>
        <v>25.376243973830626</v>
      </c>
      <c r="I244" s="57">
        <f t="shared" si="34"/>
        <v>9.3575165161214225E-5</v>
      </c>
      <c r="J244" s="5">
        <f t="shared" si="39"/>
        <v>1.251099958205441E-2</v>
      </c>
      <c r="K244" s="5">
        <f t="shared" si="40"/>
        <v>5.7046134316574196E-2</v>
      </c>
      <c r="L244" s="5">
        <f t="shared" si="41"/>
        <v>2.2818453726629673</v>
      </c>
      <c r="M244" s="67" t="str">
        <f t="shared" si="42"/>
        <v>Ok</v>
      </c>
      <c r="N244" s="67" t="str">
        <f t="shared" si="43"/>
        <v>Ok</v>
      </c>
    </row>
    <row r="245" spans="1:14" x14ac:dyDescent="0.25">
      <c r="A245">
        <v>199</v>
      </c>
      <c r="B245" s="24">
        <f t="shared" si="44"/>
        <v>27448.7</v>
      </c>
      <c r="C245" s="99">
        <v>27505.5</v>
      </c>
      <c r="D245" s="58">
        <f t="shared" si="35"/>
        <v>56.799999999999272</v>
      </c>
      <c r="E245" s="1">
        <v>4.8</v>
      </c>
      <c r="F245" s="102">
        <f t="shared" si="36"/>
        <v>4.8000000000000001E-2</v>
      </c>
      <c r="G245" s="72">
        <f t="shared" si="37"/>
        <v>15.649215928719032</v>
      </c>
      <c r="H245" s="5">
        <f t="shared" si="38"/>
        <v>25.376243973830626</v>
      </c>
      <c r="I245" s="57">
        <f t="shared" si="34"/>
        <v>9.3575165161214225E-5</v>
      </c>
      <c r="J245" s="5">
        <f t="shared" si="39"/>
        <v>5.3150693811568998E-3</v>
      </c>
      <c r="K245" s="5">
        <f t="shared" si="40"/>
        <v>5.7046134316574196E-2</v>
      </c>
      <c r="L245" s="5">
        <f t="shared" si="41"/>
        <v>2.2818453726629673</v>
      </c>
      <c r="M245" s="67" t="str">
        <f t="shared" si="42"/>
        <v>Ok</v>
      </c>
      <c r="N245" s="67" t="str">
        <f t="shared" si="43"/>
        <v>Ok</v>
      </c>
    </row>
    <row r="246" spans="1:14" x14ac:dyDescent="0.25">
      <c r="A246">
        <v>200</v>
      </c>
      <c r="B246" s="24">
        <f t="shared" si="44"/>
        <v>27505.5</v>
      </c>
      <c r="C246" s="99">
        <v>27640</v>
      </c>
      <c r="D246" s="58">
        <f t="shared" si="35"/>
        <v>134.5</v>
      </c>
      <c r="E246" s="1">
        <v>9.1999999999999993</v>
      </c>
      <c r="F246" s="102">
        <f t="shared" si="36"/>
        <v>9.1999999999999998E-2</v>
      </c>
      <c r="G246" s="72">
        <f t="shared" si="37"/>
        <v>21.665358411575859</v>
      </c>
      <c r="H246" s="5">
        <f t="shared" si="38"/>
        <v>20.876772763158638</v>
      </c>
      <c r="I246" s="57">
        <f t="shared" si="34"/>
        <v>9.3575165161214279E-5</v>
      </c>
      <c r="J246" s="5">
        <f t="shared" si="39"/>
        <v>1.258585971418332E-2</v>
      </c>
      <c r="K246" s="5">
        <f t="shared" si="40"/>
        <v>7.8976796766880825E-2</v>
      </c>
      <c r="L246" s="5">
        <f t="shared" si="41"/>
        <v>3.1590718706752323</v>
      </c>
      <c r="M246" s="67" t="str">
        <f t="shared" si="42"/>
        <v>Ok</v>
      </c>
      <c r="N246" s="67" t="str">
        <f t="shared" si="43"/>
        <v>Ok</v>
      </c>
    </row>
    <row r="247" spans="1:14" x14ac:dyDescent="0.25">
      <c r="A247">
        <v>201</v>
      </c>
      <c r="B247" s="24">
        <f t="shared" si="44"/>
        <v>27640</v>
      </c>
      <c r="C247" s="100">
        <v>27800</v>
      </c>
      <c r="D247" s="58">
        <f t="shared" si="35"/>
        <v>160</v>
      </c>
      <c r="E247" s="1">
        <v>3.6</v>
      </c>
      <c r="F247" s="102">
        <f t="shared" si="36"/>
        <v>3.6000000000000004E-2</v>
      </c>
      <c r="G247" s="72">
        <f t="shared" si="37"/>
        <v>13.55261854357877</v>
      </c>
      <c r="H247" s="5">
        <f t="shared" si="38"/>
        <v>27.663616926910858</v>
      </c>
      <c r="I247" s="57">
        <f t="shared" si="34"/>
        <v>9.3575165161214171E-5</v>
      </c>
      <c r="J247" s="5">
        <f t="shared" si="39"/>
        <v>1.4972026425794267E-2</v>
      </c>
      <c r="K247" s="5">
        <f t="shared" si="40"/>
        <v>4.9403401505852491E-2</v>
      </c>
      <c r="L247" s="5">
        <f t="shared" si="41"/>
        <v>1.9761360602340994</v>
      </c>
      <c r="M247" s="67" t="str">
        <f t="shared" si="42"/>
        <v>Ok</v>
      </c>
      <c r="N247" s="67" t="str">
        <f t="shared" si="43"/>
        <v>Ok</v>
      </c>
    </row>
    <row r="248" spans="1:14" x14ac:dyDescent="0.25">
      <c r="A248">
        <v>202</v>
      </c>
      <c r="B248" s="24">
        <f t="shared" si="44"/>
        <v>27800</v>
      </c>
      <c r="C248" s="99">
        <v>27878</v>
      </c>
      <c r="D248" s="58">
        <f t="shared" si="35"/>
        <v>78</v>
      </c>
      <c r="E248" s="1">
        <v>11.2</v>
      </c>
      <c r="F248" s="102">
        <f t="shared" si="36"/>
        <v>0.11199999999999999</v>
      </c>
      <c r="G248" s="72">
        <f t="shared" si="37"/>
        <v>23.904572186687872</v>
      </c>
      <c r="H248" s="5">
        <f t="shared" si="38"/>
        <v>19.68041741760657</v>
      </c>
      <c r="I248" s="57">
        <f t="shared" si="34"/>
        <v>9.3575165161214171E-5</v>
      </c>
      <c r="J248" s="5">
        <f t="shared" si="39"/>
        <v>7.2988628825747057E-3</v>
      </c>
      <c r="K248" s="5">
        <f t="shared" si="40"/>
        <v>8.7139409536773058E-2</v>
      </c>
      <c r="L248" s="5">
        <f t="shared" si="41"/>
        <v>3.4855763814709215</v>
      </c>
      <c r="M248" s="67" t="str">
        <f t="shared" si="42"/>
        <v>Ok</v>
      </c>
      <c r="N248" s="67" t="str">
        <f t="shared" si="43"/>
        <v>Ok</v>
      </c>
    </row>
    <row r="249" spans="1:14" x14ac:dyDescent="0.25">
      <c r="A249">
        <v>203</v>
      </c>
      <c r="B249" s="24">
        <f t="shared" si="44"/>
        <v>27878</v>
      </c>
      <c r="C249" s="100">
        <v>27950</v>
      </c>
      <c r="D249" s="58">
        <f t="shared" si="35"/>
        <v>72</v>
      </c>
      <c r="E249" s="1">
        <v>7.7</v>
      </c>
      <c r="F249" s="102">
        <f t="shared" si="36"/>
        <v>7.6999999999999999E-2</v>
      </c>
      <c r="G249" s="72">
        <f t="shared" si="37"/>
        <v>19.820624179302296</v>
      </c>
      <c r="H249" s="5">
        <f t="shared" si="38"/>
        <v>22.021783806340007</v>
      </c>
      <c r="I249" s="57">
        <f t="shared" si="34"/>
        <v>9.3575165161214279E-5</v>
      </c>
      <c r="J249" s="5">
        <f t="shared" si="39"/>
        <v>6.7374118916074281E-3</v>
      </c>
      <c r="K249" s="5">
        <f t="shared" si="40"/>
        <v>7.2252181471648316E-2</v>
      </c>
      <c r="L249" s="5">
        <f t="shared" si="41"/>
        <v>2.8900872588659321</v>
      </c>
      <c r="M249" s="67" t="str">
        <f t="shared" si="42"/>
        <v>Ok</v>
      </c>
      <c r="N249" s="67" t="str">
        <f t="shared" si="43"/>
        <v>Ok</v>
      </c>
    </row>
    <row r="250" spans="1:14" x14ac:dyDescent="0.25">
      <c r="A250">
        <v>204</v>
      </c>
      <c r="B250" s="24">
        <f t="shared" si="44"/>
        <v>27950</v>
      </c>
      <c r="C250" s="99">
        <v>28026.5</v>
      </c>
      <c r="D250" s="58">
        <f t="shared" si="35"/>
        <v>76.5</v>
      </c>
      <c r="E250" s="1">
        <v>11.9</v>
      </c>
      <c r="F250" s="102">
        <f t="shared" si="36"/>
        <v>0.11900000000000001</v>
      </c>
      <c r="G250" s="72">
        <f t="shared" si="37"/>
        <v>24.640269015229055</v>
      </c>
      <c r="H250" s="5">
        <f t="shared" si="38"/>
        <v>19.325717369392514</v>
      </c>
      <c r="I250" s="57">
        <f t="shared" si="34"/>
        <v>9.3575165161214225E-5</v>
      </c>
      <c r="J250" s="5">
        <f t="shared" si="39"/>
        <v>7.1585001348328878E-3</v>
      </c>
      <c r="K250" s="5">
        <f t="shared" si="40"/>
        <v>8.9821247418517561E-2</v>
      </c>
      <c r="L250" s="5">
        <f t="shared" si="41"/>
        <v>3.5928498967407019</v>
      </c>
      <c r="M250" s="67" t="str">
        <f t="shared" si="42"/>
        <v>Ok</v>
      </c>
      <c r="N250" s="67" t="str">
        <f t="shared" si="43"/>
        <v>Ok</v>
      </c>
    </row>
    <row r="251" spans="1:14" x14ac:dyDescent="0.25">
      <c r="A251">
        <v>205</v>
      </c>
      <c r="B251" s="24">
        <f t="shared" si="44"/>
        <v>28026.5</v>
      </c>
      <c r="C251" s="100">
        <v>28095</v>
      </c>
      <c r="D251" s="58">
        <f t="shared" si="35"/>
        <v>68.5</v>
      </c>
      <c r="E251" s="1">
        <v>6.4</v>
      </c>
      <c r="F251" s="102">
        <f t="shared" si="36"/>
        <v>6.4000000000000001E-2</v>
      </c>
      <c r="G251" s="72">
        <f t="shared" si="37"/>
        <v>18.070158058105022</v>
      </c>
      <c r="H251" s="5">
        <f t="shared" si="38"/>
        <v>23.278003014600174</v>
      </c>
      <c r="I251" s="57">
        <f t="shared" ref="I251:I252" si="45">G251*(($I$39*H251)^(5/3))</f>
        <v>9.3575165161214415E-5</v>
      </c>
      <c r="J251" s="5">
        <f t="shared" si="39"/>
        <v>6.4098988135431875E-3</v>
      </c>
      <c r="K251" s="5">
        <f t="shared" si="40"/>
        <v>6.5871202007803317E-2</v>
      </c>
      <c r="L251" s="5">
        <f t="shared" si="41"/>
        <v>2.6348480803121324</v>
      </c>
      <c r="M251" s="67" t="str">
        <f t="shared" si="42"/>
        <v>Ok</v>
      </c>
      <c r="N251" s="67" t="str">
        <f t="shared" si="43"/>
        <v>Ok</v>
      </c>
    </row>
    <row r="252" spans="1:14" x14ac:dyDescent="0.25">
      <c r="A252">
        <v>206</v>
      </c>
      <c r="B252" s="24">
        <f t="shared" si="44"/>
        <v>28095</v>
      </c>
      <c r="C252" s="100">
        <v>28125</v>
      </c>
      <c r="D252" s="58">
        <f t="shared" si="35"/>
        <v>30</v>
      </c>
      <c r="E252" s="103">
        <v>0.5</v>
      </c>
      <c r="F252" s="102">
        <f t="shared" si="36"/>
        <v>5.0000000000000001E-3</v>
      </c>
      <c r="G252" s="72">
        <f t="shared" si="37"/>
        <v>5.0507627227610534</v>
      </c>
      <c r="H252" s="5">
        <f t="shared" si="38"/>
        <v>50.015971744101051</v>
      </c>
      <c r="I252" s="57">
        <f t="shared" si="45"/>
        <v>9.3575165161214306E-5</v>
      </c>
      <c r="J252" s="5">
        <f t="shared" si="39"/>
        <v>2.807254954836429E-3</v>
      </c>
      <c r="K252" s="5">
        <f t="shared" si="40"/>
        <v>1.8411560681133605E-2</v>
      </c>
      <c r="L252" s="5">
        <f t="shared" si="41"/>
        <v>0.73646242724534405</v>
      </c>
      <c r="M252" s="67" t="str">
        <f t="shared" si="42"/>
        <v>Ok</v>
      </c>
      <c r="N252" s="67" t="str">
        <f t="shared" si="43"/>
        <v>Ok</v>
      </c>
    </row>
  </sheetData>
  <mergeCells count="38">
    <mergeCell ref="Y14:Y19"/>
    <mergeCell ref="Y20:Y25"/>
    <mergeCell ref="Y26:Y31"/>
    <mergeCell ref="Y33:Y35"/>
    <mergeCell ref="AB5:AE5"/>
    <mergeCell ref="AA5:AA6"/>
    <mergeCell ref="Z5:Z6"/>
    <mergeCell ref="Y5:Y6"/>
    <mergeCell ref="Y8:Y13"/>
    <mergeCell ref="D2:E2"/>
    <mergeCell ref="B6:B10"/>
    <mergeCell ref="G6:G10"/>
    <mergeCell ref="B13:B18"/>
    <mergeCell ref="G13:G18"/>
    <mergeCell ref="P17:Q17"/>
    <mergeCell ref="R17:T17"/>
    <mergeCell ref="B45:C45"/>
    <mergeCell ref="F45:F46"/>
    <mergeCell ref="G44:J44"/>
    <mergeCell ref="G45:G46"/>
    <mergeCell ref="H23:J23"/>
    <mergeCell ref="J41:L41"/>
    <mergeCell ref="M6:N6"/>
    <mergeCell ref="R25:T25"/>
    <mergeCell ref="P19:Q19"/>
    <mergeCell ref="R19:T19"/>
    <mergeCell ref="N20:N21"/>
    <mergeCell ref="O20:O21"/>
    <mergeCell ref="P20:Q20"/>
    <mergeCell ref="R20:T20"/>
    <mergeCell ref="P21:Q21"/>
    <mergeCell ref="R21:T21"/>
    <mergeCell ref="P15:Q15"/>
    <mergeCell ref="R15:T15"/>
    <mergeCell ref="N16:N17"/>
    <mergeCell ref="O16:O17"/>
    <mergeCell ref="P16:Q16"/>
    <mergeCell ref="R16:T1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F120"/>
  <sheetViews>
    <sheetView zoomScale="60" zoomScaleNormal="60" workbookViewId="0">
      <selection activeCell="M36" sqref="M36"/>
    </sheetView>
  </sheetViews>
  <sheetFormatPr baseColWidth="10" defaultRowHeight="15" x14ac:dyDescent="0.25"/>
  <cols>
    <col min="4" max="4" width="6.85546875" customWidth="1"/>
    <col min="7" max="7" width="8.7109375" customWidth="1"/>
    <col min="8" max="8" width="10.140625" customWidth="1"/>
    <col min="9" max="9" width="11.140625" customWidth="1"/>
    <col min="11" max="11" width="11.85546875" style="119" bestFit="1" customWidth="1"/>
    <col min="12" max="13" width="11.85546875" style="119" customWidth="1"/>
    <col min="40" max="40" width="14.28515625" style="210" bestFit="1" customWidth="1"/>
    <col min="42" max="47" width="12.5703125" customWidth="1"/>
    <col min="48" max="48" width="12.5703125" bestFit="1" customWidth="1"/>
    <col min="52" max="54" width="12.5703125" bestFit="1" customWidth="1"/>
    <col min="59" max="60" width="13.5703125" customWidth="1"/>
    <col min="63" max="63" width="15.140625" customWidth="1"/>
    <col min="64" max="64" width="14.140625" customWidth="1"/>
    <col min="65" max="65" width="12" bestFit="1" customWidth="1"/>
    <col min="66" max="66" width="12" customWidth="1"/>
    <col min="67" max="67" width="12.7109375" bestFit="1" customWidth="1"/>
    <col min="72" max="72" width="13.7109375" bestFit="1" customWidth="1"/>
    <col min="74" max="74" width="11.5703125" customWidth="1"/>
    <col min="76" max="76" width="12.7109375" bestFit="1" customWidth="1"/>
    <col min="81" max="81" width="12.7109375" bestFit="1" customWidth="1"/>
  </cols>
  <sheetData>
    <row r="1" spans="1:84" x14ac:dyDescent="0.25">
      <c r="M1" t="s">
        <v>179</v>
      </c>
    </row>
    <row r="2" spans="1:84" x14ac:dyDescent="0.25">
      <c r="E2" s="20"/>
      <c r="F2" s="121" t="s">
        <v>221</v>
      </c>
      <c r="K2" s="56"/>
      <c r="L2" s="56"/>
      <c r="M2" s="56"/>
      <c r="BK2" s="214" t="s">
        <v>227</v>
      </c>
      <c r="BL2" s="214"/>
    </row>
    <row r="3" spans="1:84" ht="15.75" customHeight="1" x14ac:dyDescent="0.25">
      <c r="K3" s="56"/>
      <c r="L3" s="56"/>
      <c r="M3" s="56"/>
      <c r="BK3" s="121">
        <v>1</v>
      </c>
      <c r="BL3" s="121" t="s">
        <v>225</v>
      </c>
    </row>
    <row r="4" spans="1:84" ht="23.25" customHeight="1" x14ac:dyDescent="0.25">
      <c r="C4" s="2" t="s">
        <v>85</v>
      </c>
      <c r="K4"/>
      <c r="L4"/>
      <c r="M4"/>
      <c r="N4" s="2" t="s">
        <v>84</v>
      </c>
      <c r="BK4" s="121">
        <v>0</v>
      </c>
      <c r="BL4" s="121" t="s">
        <v>226</v>
      </c>
    </row>
    <row r="5" spans="1:84" x14ac:dyDescent="0.25">
      <c r="B5" s="2">
        <v>1</v>
      </c>
      <c r="C5" s="243" t="s">
        <v>197</v>
      </c>
      <c r="D5" s="244"/>
      <c r="E5" s="120">
        <v>2.4E-2</v>
      </c>
      <c r="G5" t="s">
        <v>228</v>
      </c>
      <c r="K5"/>
      <c r="L5"/>
      <c r="M5"/>
      <c r="N5" s="127" t="s">
        <v>60</v>
      </c>
      <c r="O5" s="34">
        <v>2</v>
      </c>
      <c r="P5" s="128" t="s">
        <v>61</v>
      </c>
      <c r="X5" s="59"/>
      <c r="AP5" s="123" t="s">
        <v>206</v>
      </c>
      <c r="AQ5" s="124">
        <v>1.8113088900000001</v>
      </c>
    </row>
    <row r="6" spans="1:84" x14ac:dyDescent="0.25">
      <c r="B6" s="2">
        <v>2</v>
      </c>
      <c r="C6" s="243" t="s">
        <v>83</v>
      </c>
      <c r="D6" s="244"/>
      <c r="E6" s="28">
        <v>1.4E-2</v>
      </c>
      <c r="G6" t="s">
        <v>180</v>
      </c>
      <c r="K6"/>
      <c r="L6"/>
      <c r="M6"/>
      <c r="T6" s="59"/>
      <c r="BA6" s="2"/>
      <c r="BK6" s="247" t="s">
        <v>231</v>
      </c>
      <c r="BL6" s="248"/>
      <c r="BM6" s="248"/>
      <c r="BN6" s="248"/>
      <c r="BO6" s="248"/>
      <c r="BP6" s="248"/>
      <c r="BQ6" s="248"/>
      <c r="BR6" s="249"/>
      <c r="BT6" s="247" t="s">
        <v>232</v>
      </c>
      <c r="BU6" s="248"/>
      <c r="BV6" s="248"/>
      <c r="BW6" s="248"/>
      <c r="BX6" s="248"/>
      <c r="BY6" s="248"/>
      <c r="BZ6" s="248"/>
      <c r="CA6" s="249"/>
      <c r="CC6" s="247" t="s">
        <v>230</v>
      </c>
      <c r="CD6" s="248"/>
      <c r="CE6" s="248"/>
      <c r="CF6" s="249"/>
    </row>
    <row r="7" spans="1:84" x14ac:dyDescent="0.25">
      <c r="K7"/>
      <c r="L7"/>
      <c r="M7"/>
      <c r="N7" s="110"/>
    </row>
    <row r="8" spans="1:84" x14ac:dyDescent="0.25">
      <c r="K8"/>
      <c r="L8"/>
      <c r="M8"/>
      <c r="N8" s="214" t="s">
        <v>223</v>
      </c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B8" s="222" t="s">
        <v>224</v>
      </c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3"/>
      <c r="AP8" s="214" t="s">
        <v>203</v>
      </c>
      <c r="AQ8" s="214"/>
      <c r="AR8" s="214"/>
      <c r="AS8" s="214"/>
      <c r="AT8" s="214"/>
      <c r="AU8" s="214"/>
      <c r="BK8" s="214" t="s">
        <v>210</v>
      </c>
      <c r="BL8" s="214"/>
      <c r="BM8" s="214"/>
      <c r="BN8" s="33"/>
      <c r="BO8" s="214" t="s">
        <v>218</v>
      </c>
      <c r="BP8" s="214"/>
      <c r="BQ8" s="214"/>
      <c r="BR8" s="214"/>
      <c r="BT8" s="214" t="s">
        <v>211</v>
      </c>
      <c r="BU8" s="214"/>
      <c r="BV8" s="214"/>
      <c r="BX8" s="214" t="s">
        <v>217</v>
      </c>
      <c r="BY8" s="214"/>
      <c r="BZ8" s="214"/>
      <c r="CA8" s="214"/>
      <c r="CC8" s="214" t="s">
        <v>222</v>
      </c>
      <c r="CD8" s="214"/>
      <c r="CE8" s="214"/>
      <c r="CF8" s="214"/>
    </row>
    <row r="9" spans="1:84" x14ac:dyDescent="0.25">
      <c r="C9" s="70"/>
      <c r="D9" s="221" t="s">
        <v>43</v>
      </c>
      <c r="E9" s="217" t="s">
        <v>44</v>
      </c>
      <c r="F9" s="121" t="s">
        <v>57</v>
      </c>
      <c r="G9" s="44" t="s">
        <v>193</v>
      </c>
      <c r="H9" s="245" t="s">
        <v>59</v>
      </c>
      <c r="I9" s="217" t="s">
        <v>122</v>
      </c>
      <c r="J9" s="22" t="s">
        <v>87</v>
      </c>
      <c r="K9" s="22" t="s">
        <v>196</v>
      </c>
      <c r="L9" s="225" t="s">
        <v>180</v>
      </c>
      <c r="M9" s="225"/>
      <c r="N9" s="22" t="s">
        <v>88</v>
      </c>
      <c r="O9" s="122" t="s">
        <v>89</v>
      </c>
      <c r="P9" s="122" t="s">
        <v>91</v>
      </c>
      <c r="Q9" s="122" t="s">
        <v>92</v>
      </c>
      <c r="R9" s="122" t="s">
        <v>93</v>
      </c>
      <c r="S9" s="122" t="s">
        <v>94</v>
      </c>
      <c r="T9" s="22" t="s">
        <v>43</v>
      </c>
      <c r="U9" s="22" t="s">
        <v>97</v>
      </c>
      <c r="V9" s="241" t="s">
        <v>99</v>
      </c>
      <c r="W9" s="22" t="s">
        <v>100</v>
      </c>
      <c r="X9" s="214" t="s">
        <v>9</v>
      </c>
      <c r="Y9" s="214"/>
      <c r="Z9" s="214"/>
      <c r="AB9" s="22" t="s">
        <v>88</v>
      </c>
      <c r="AC9" s="122" t="s">
        <v>91</v>
      </c>
      <c r="AD9" s="122" t="s">
        <v>92</v>
      </c>
      <c r="AE9" s="122" t="s">
        <v>93</v>
      </c>
      <c r="AF9" s="122" t="s">
        <v>94</v>
      </c>
      <c r="AG9" s="22" t="s">
        <v>43</v>
      </c>
      <c r="AH9" s="22" t="s">
        <v>97</v>
      </c>
      <c r="AI9" s="241" t="s">
        <v>99</v>
      </c>
      <c r="AJ9" s="22" t="s">
        <v>100</v>
      </c>
      <c r="AK9" s="214" t="s">
        <v>9</v>
      </c>
      <c r="AL9" s="214"/>
      <c r="AM9" s="214"/>
      <c r="AN9" s="211" t="s">
        <v>414</v>
      </c>
      <c r="AP9" s="217" t="s">
        <v>123</v>
      </c>
      <c r="AQ9" s="217" t="s">
        <v>198</v>
      </c>
      <c r="AR9" s="217" t="s">
        <v>199</v>
      </c>
      <c r="AS9" s="217" t="s">
        <v>200</v>
      </c>
      <c r="AT9" s="217" t="s">
        <v>201</v>
      </c>
      <c r="AU9" s="217" t="s">
        <v>202</v>
      </c>
      <c r="AV9" s="217" t="s">
        <v>229</v>
      </c>
      <c r="AX9" s="122" t="s">
        <v>184</v>
      </c>
      <c r="AY9" s="217" t="s">
        <v>185</v>
      </c>
      <c r="AZ9" s="217" t="s">
        <v>181</v>
      </c>
      <c r="BA9" s="217" t="s">
        <v>182</v>
      </c>
      <c r="BB9" s="217" t="s">
        <v>183</v>
      </c>
      <c r="BC9" s="217" t="s">
        <v>187</v>
      </c>
      <c r="BD9" s="217" t="s">
        <v>188</v>
      </c>
      <c r="BE9" s="217" t="s">
        <v>189</v>
      </c>
      <c r="BF9" s="217" t="s">
        <v>229</v>
      </c>
      <c r="BG9" s="217" t="s">
        <v>194</v>
      </c>
      <c r="BH9" s="217" t="s">
        <v>186</v>
      </c>
      <c r="BI9" s="217" t="s">
        <v>209</v>
      </c>
      <c r="BK9" s="217" t="s">
        <v>207</v>
      </c>
      <c r="BL9" s="217" t="s">
        <v>208</v>
      </c>
      <c r="BM9" s="240" t="s">
        <v>195</v>
      </c>
      <c r="BN9" s="130"/>
      <c r="BO9" s="217" t="s">
        <v>214</v>
      </c>
      <c r="BP9" s="217" t="s">
        <v>190</v>
      </c>
      <c r="BQ9" s="217" t="s">
        <v>215</v>
      </c>
      <c r="BR9" s="240" t="s">
        <v>195</v>
      </c>
      <c r="BT9" s="217" t="s">
        <v>212</v>
      </c>
      <c r="BU9" s="217" t="s">
        <v>213</v>
      </c>
      <c r="BV9" s="240" t="s">
        <v>195</v>
      </c>
      <c r="BX9" s="217" t="s">
        <v>214</v>
      </c>
      <c r="BY9" s="217" t="s">
        <v>190</v>
      </c>
      <c r="BZ9" s="217" t="s">
        <v>216</v>
      </c>
      <c r="CA9" s="240" t="s">
        <v>195</v>
      </c>
      <c r="CC9" s="217" t="s">
        <v>214</v>
      </c>
      <c r="CD9" s="217" t="s">
        <v>219</v>
      </c>
      <c r="CE9" s="217" t="s">
        <v>220</v>
      </c>
      <c r="CF9" s="240" t="s">
        <v>195</v>
      </c>
    </row>
    <row r="10" spans="1:84" x14ac:dyDescent="0.25">
      <c r="D10" s="221"/>
      <c r="E10" s="218"/>
      <c r="F10" s="121" t="s">
        <v>58</v>
      </c>
      <c r="G10" s="54" t="s">
        <v>192</v>
      </c>
      <c r="H10" s="246"/>
      <c r="I10" s="218"/>
      <c r="J10" s="23" t="s">
        <v>64</v>
      </c>
      <c r="K10" s="23" t="s">
        <v>193</v>
      </c>
      <c r="L10" s="23" t="s">
        <v>204</v>
      </c>
      <c r="M10" s="23" t="s">
        <v>205</v>
      </c>
      <c r="N10" s="23" t="s">
        <v>64</v>
      </c>
      <c r="O10" s="126" t="s">
        <v>90</v>
      </c>
      <c r="P10" s="126" t="s">
        <v>64</v>
      </c>
      <c r="Q10" s="126" t="s">
        <v>95</v>
      </c>
      <c r="R10" s="126" t="s">
        <v>64</v>
      </c>
      <c r="S10" s="126" t="s">
        <v>64</v>
      </c>
      <c r="T10" s="35" t="s">
        <v>96</v>
      </c>
      <c r="U10" s="23" t="s">
        <v>98</v>
      </c>
      <c r="V10" s="242"/>
      <c r="W10" s="23" t="s">
        <v>101</v>
      </c>
      <c r="X10" s="125" t="s">
        <v>176</v>
      </c>
      <c r="Y10" s="125" t="s">
        <v>177</v>
      </c>
      <c r="Z10" s="125" t="s">
        <v>178</v>
      </c>
      <c r="AB10" s="23" t="s">
        <v>64</v>
      </c>
      <c r="AC10" s="126" t="s">
        <v>64</v>
      </c>
      <c r="AD10" s="126" t="s">
        <v>95</v>
      </c>
      <c r="AE10" s="126" t="s">
        <v>64</v>
      </c>
      <c r="AF10" s="126" t="s">
        <v>64</v>
      </c>
      <c r="AG10" s="23" t="s">
        <v>96</v>
      </c>
      <c r="AH10" s="23" t="s">
        <v>98</v>
      </c>
      <c r="AI10" s="242"/>
      <c r="AJ10" s="23" t="s">
        <v>101</v>
      </c>
      <c r="AK10" s="125" t="s">
        <v>176</v>
      </c>
      <c r="AL10" s="125" t="s">
        <v>177</v>
      </c>
      <c r="AM10" s="125" t="s">
        <v>178</v>
      </c>
      <c r="AN10" s="211"/>
      <c r="AP10" s="218"/>
      <c r="AQ10" s="218"/>
      <c r="AR10" s="218"/>
      <c r="AS10" s="218"/>
      <c r="AT10" s="218"/>
      <c r="AU10" s="218"/>
      <c r="AV10" s="218"/>
      <c r="AX10" s="126" t="s">
        <v>191</v>
      </c>
      <c r="AY10" s="218" t="s">
        <v>185</v>
      </c>
      <c r="AZ10" s="218"/>
      <c r="BA10" s="218"/>
      <c r="BB10" s="218"/>
      <c r="BC10" s="218" t="s">
        <v>187</v>
      </c>
      <c r="BD10" s="218"/>
      <c r="BE10" s="218"/>
      <c r="BF10" s="218"/>
      <c r="BG10" s="218"/>
      <c r="BH10" s="218"/>
      <c r="BI10" s="218"/>
      <c r="BK10" s="218"/>
      <c r="BL10" s="218"/>
      <c r="BM10" s="240"/>
      <c r="BN10" s="130"/>
      <c r="BO10" s="218"/>
      <c r="BP10" s="218"/>
      <c r="BQ10" s="218"/>
      <c r="BR10" s="240"/>
      <c r="BT10" s="218"/>
      <c r="BU10" s="218"/>
      <c r="BV10" s="240"/>
      <c r="BX10" s="218"/>
      <c r="BY10" s="218"/>
      <c r="BZ10" s="218"/>
      <c r="CA10" s="240"/>
      <c r="CC10" s="218"/>
      <c r="CD10" s="218"/>
      <c r="CE10" s="218"/>
      <c r="CF10" s="240"/>
    </row>
    <row r="11" spans="1:84" x14ac:dyDescent="0.25">
      <c r="A11" s="150" t="s">
        <v>78</v>
      </c>
      <c r="C11" s="2" t="s">
        <v>16</v>
      </c>
      <c r="D11" s="120">
        <v>1</v>
      </c>
      <c r="E11" s="24">
        <f>'Cálculos - Distintas Ecuaciones'!F16</f>
        <v>118.5</v>
      </c>
      <c r="F11" s="39">
        <f>'Cálculos - Distintas Ecuaciones'!Z16+Cunetas!J47+Cunetas!J48</f>
        <v>1.3307494038873149</v>
      </c>
      <c r="G11" s="50" t="str">
        <f>IF(K11="Circular","1",IF(K11="Cajón","2",""))</f>
        <v>1</v>
      </c>
      <c r="H11" s="120">
        <f>IF(G11="1",0.024,IF(G11="2",0.014,""))</f>
        <v>2.4E-2</v>
      </c>
      <c r="I11" s="20">
        <f>$O$5/100</f>
        <v>0.02</v>
      </c>
      <c r="J11" s="45">
        <v>1.2</v>
      </c>
      <c r="K11" s="67" t="str">
        <f>IF(J11&lt;1.8,"Circular","Cajón")</f>
        <v>Circular</v>
      </c>
      <c r="L11" s="45"/>
      <c r="M11" s="45"/>
      <c r="N11" s="49">
        <v>0.6290569862446812</v>
      </c>
      <c r="O11" s="5">
        <f>IF(G11="1",2*ACOS(1-((2*N11)/J11)),"")</f>
        <v>3.2384871740767651</v>
      </c>
      <c r="P11" s="5">
        <f>IF(G11="1",J11*SIN(O11/2),"")</f>
        <v>1.1985919932160007</v>
      </c>
      <c r="Q11" s="5">
        <f>IF(G11="1",((J11^2)/8)*(O11-SIN(O11)),"")</f>
        <v>0.60034142686374892</v>
      </c>
      <c r="R11" s="5">
        <f>IF(G11="1",0.5*J11*O11,"")</f>
        <v>1.9430923044460591</v>
      </c>
      <c r="S11" s="5">
        <f>IF(G11="1",Q11/R11,"")</f>
        <v>0.30896186737505277</v>
      </c>
      <c r="T11" s="117">
        <f>IF(G11="1",(F11/Q11)/(SQRT(9.81*(1/8)*J11*((O11-SIN(O11))/(SIN(O11/2))))),"")</f>
        <v>0.99999998403914381</v>
      </c>
      <c r="U11" s="5">
        <f>IF(G11="1",F11/Q11,"")</f>
        <v>2.2166542976041139</v>
      </c>
      <c r="V11" s="39">
        <f>IF(G11="1",((U11*H11)/((S11^(2/3))))^2,"")</f>
        <v>1.3550185563600435E-2</v>
      </c>
      <c r="W11" s="46" t="str">
        <f>IF(G11="1",IF(U11&lt;4.5,"Aceptable","Corregir"),"")</f>
        <v>Aceptable</v>
      </c>
      <c r="X11" s="5">
        <f>IF(G11="1",F11^2/9.81,"")</f>
        <v>0.18051926360310336</v>
      </c>
      <c r="Y11" s="5">
        <f>IF(G11="1",(J11^5/512)*((O11-SIN(O11))^3/(SIN(O11/2))),"")</f>
        <v>0.18051926936558749</v>
      </c>
      <c r="Z11" s="5">
        <f>IF(G11="1",X11-Y11,"")</f>
        <v>-5.7624841287573503E-9</v>
      </c>
      <c r="AB11" s="120"/>
      <c r="AC11" s="120" t="str">
        <f>IF(G11="1","",IF(G11="2",M11,""))</f>
        <v/>
      </c>
      <c r="AD11" s="120" t="str">
        <f>IF(G11="1","",IF(G11="2",M11*AB11,""))</f>
        <v/>
      </c>
      <c r="AE11" s="120" t="str">
        <f>IF(G11="1","",IF(G11="2",M11+(2*AB11),""))</f>
        <v/>
      </c>
      <c r="AF11" s="120" t="str">
        <f>IF(G11="1","",IF(G11="2",AD11/AE11,""))</f>
        <v/>
      </c>
      <c r="AG11" s="120" t="str">
        <f>IF(G11="1","",IF(G11="2",(F11/AD11)/(SQRT(9.81*AB11)),""))</f>
        <v/>
      </c>
      <c r="AH11" s="120" t="str">
        <f>IF(G11="1","",IF(G11="2",F11/AD11,""))</f>
        <v/>
      </c>
      <c r="AI11" s="120" t="str">
        <f>IF(G11="1","",IF(G11="2",((AH11*H11)/((AF11^(2/3))))^2,""))</f>
        <v/>
      </c>
      <c r="AJ11" s="46" t="str">
        <f>IF(G11="1","",IF(G11="2",IF(AH11&lt;5,"Aceptable","Corregir")))</f>
        <v/>
      </c>
      <c r="AK11" s="120" t="str">
        <f>IF(G11="1","",IF(G11="2",AB11^3,""))</f>
        <v/>
      </c>
      <c r="AL11" s="120" t="str">
        <f>IF(G11="1","",IF(G11="2",(F11^2)/(9.81*M11^2),""))</f>
        <v/>
      </c>
      <c r="AM11" s="120" t="str">
        <f>IF(G11="1","",IF(G11="2",AK11-AL11,""))</f>
        <v/>
      </c>
      <c r="AN11" s="211">
        <v>6</v>
      </c>
      <c r="AP11" s="39">
        <f t="shared" ref="AP11:AP42" si="0">IF(G11="1",0.167433,IF(G11="2",0.072493,""))</f>
        <v>0.167433</v>
      </c>
      <c r="AQ11" s="39">
        <f t="shared" ref="AQ11:AQ42" si="1">IF(G11="1",0.538595,IF(G11="2",0.507087,""))</f>
        <v>0.53859500000000005</v>
      </c>
      <c r="AR11" s="39">
        <f t="shared" ref="AR11:AR42" si="2">IF(G11="1",-0.14937,IF(G11="2",-0.11747,""))</f>
        <v>-0.14937</v>
      </c>
      <c r="AS11" s="39">
        <f t="shared" ref="AS11:AS42" si="3">IF(G11="1",0.039154,IF(G11="2",0.02217,""))</f>
        <v>3.9154000000000001E-2</v>
      </c>
      <c r="AT11" s="39">
        <f t="shared" ref="AT11:AT42" si="4">IF(G11="1",-0.00344,IF(G11="2",-0.00149,""))</f>
        <v>-3.4399999999999999E-3</v>
      </c>
      <c r="AU11" s="39">
        <f t="shared" ref="AU11:AU42" si="5">IF(G11="1",0.000116,IF(G11="2",0.000038,""))</f>
        <v>1.16E-4</v>
      </c>
      <c r="AV11" s="39">
        <f t="shared" ref="AV11:AV42" si="6">IF(G11="1",J11*(AP11+(AQ11*$AQ$5*(F11/(J11^(5/2))))+(AR11*($AQ$5*(F11/(J11^(5/2))))^2)+(AS11*($AQ$5*(F11/(J11^(5/2))))^3)+(AT11*($AQ$5*(F11/(J11^(5/2))))^4)+(AU11*($AQ$5*(F11/(J11^(5/2))))^5)-(0.5*I11)),IF(G11="2",L11*(AP11+(AQ11*$AQ$5*(F11/(M11*L11^(3/2))))+(AR11*($AQ$5*(F11/(M11*L11^(3/2))))^2)+(AS11*($AQ$5*(F11/(M11*L11^(3/2))))^3)+(AT11*($AQ$5*(F11/(M11*L11^(3/2))))^4)+(AU11*($AQ$5*(F11/(M11*L11^(3/2))))^5)-(0.5*I11)),""))</f>
        <v>0.90428498978482352</v>
      </c>
      <c r="AX11" s="157">
        <v>11.95</v>
      </c>
      <c r="AY11" s="120">
        <f t="shared" ref="AY11:AY42" si="7">AX11*I11</f>
        <v>0.23899999999999999</v>
      </c>
      <c r="AZ11" s="39">
        <f t="shared" ref="AZ11:AZ42" si="8">IF(G11="1",(U11^2)/(2*9.81),IF(G11="2",(AH11^2)/(2*9.81),""))</f>
        <v>0.25043609964764463</v>
      </c>
      <c r="BA11" s="118">
        <f t="shared" ref="BA11:BA42" si="9">IF(G11="1",0.2,IF(G11="2",0.5,""))</f>
        <v>0.2</v>
      </c>
      <c r="BB11" s="39">
        <f>AZ11*BA11</f>
        <v>5.0087219929528928E-2</v>
      </c>
      <c r="BC11" s="39">
        <f t="shared" ref="BC11:BC42" si="10">IF(G11="1",AX11*((U11*H11)^2)/(S11^(4/3)),IF(G11="2",AX11*((AH11*H11)^2)/(AF11^(4/3)),""))</f>
        <v>0.16192471748502515</v>
      </c>
      <c r="BD11" s="39">
        <f t="shared" ref="BD11:BD42" si="11">AZ11+BB11+BC11</f>
        <v>0.46244803706219872</v>
      </c>
      <c r="BE11" s="39">
        <f t="shared" ref="BE11:BE42" si="12">IF(G11="1",((J11+N11)/2),((L11+AB11)/2))</f>
        <v>0.91452849312234052</v>
      </c>
      <c r="BF11" s="39">
        <f t="shared" ref="BF11:BF42" si="13">BD11+BE11-(AX11*I11)</f>
        <v>1.1379765301845395</v>
      </c>
      <c r="BG11" s="39">
        <f>IF(AV11&gt;BF11,AV11,BF11)</f>
        <v>1.1379765301845395</v>
      </c>
      <c r="BH11" s="39">
        <f>IF(G11="1",(BG11-AY11)/J11,IF(G11="2",(BG11-AY11)/L11,""))</f>
        <v>0.7491471084871163</v>
      </c>
      <c r="BI11" s="39">
        <f>IF(G11="1",BE11/J11,IF(G11="2",BE11/L11))</f>
        <v>0.76210707760195051</v>
      </c>
      <c r="BK11" s="120" t="str">
        <f>IF(BH11&gt;1,"1","0")</f>
        <v>0</v>
      </c>
      <c r="BL11" s="120" t="str">
        <f>IF(BI11&gt;1,"1","0")</f>
        <v>0</v>
      </c>
      <c r="BM11" s="120" t="str">
        <f>IF((BK11+BL11)=2,"Válido","No válido")</f>
        <v>No válido</v>
      </c>
      <c r="BN11" s="36"/>
      <c r="BO11" s="120" t="str">
        <f t="shared" ref="BO11:BO42" si="14">IF(BH11&lt;1.5,"1","0")</f>
        <v>1</v>
      </c>
      <c r="BP11" s="120" t="str">
        <f>IF(G11="1",IF(BE11&lt;N11,"1","0"),IF(BE11&lt;AB11,"1","0"))</f>
        <v>0</v>
      </c>
      <c r="BQ11" s="120" t="str">
        <f t="shared" ref="BQ11:BQ42" si="15">IF(G11="1",IF(I11&lt;V11,"1","0"),IF(I11&lt;AI11,"1","0"))</f>
        <v>0</v>
      </c>
      <c r="BR11" s="120" t="str">
        <f t="shared" ref="BR11:BR42" si="16">IF((BO11+BP11+BQ11)=3,"Válido","No válido")</f>
        <v>No válido</v>
      </c>
      <c r="BT11" s="120" t="str">
        <f>IF(BH11&gt;=1.5,"1","0")</f>
        <v>0</v>
      </c>
      <c r="BU11" s="120" t="str">
        <f>IF(BI11&lt;=1,"1","0")</f>
        <v>1</v>
      </c>
      <c r="BV11" s="120" t="str">
        <f>IF((BT11+BU11)=2,"Válido","No válido")</f>
        <v>No válido</v>
      </c>
      <c r="BX11" s="120" t="str">
        <f>IF(BH11&lt;1.5,"1","0")</f>
        <v>1</v>
      </c>
      <c r="BY11" s="120" t="str">
        <f t="shared" ref="BY11:BY42" si="17">IF(G11="1",IF(BE11&lt;N11,"1","0"),IF(BE11&lt;AB11,"1","0"))</f>
        <v>0</v>
      </c>
      <c r="BZ11" s="27" t="str">
        <f t="shared" ref="BZ11:BZ42" si="18">IF(G11="1",IF(I11&gt;V11,"1","0"),IF(I11&gt;AI11,"1","0"))</f>
        <v>1</v>
      </c>
      <c r="CA11" s="120" t="str">
        <f>IF((BX11+BY11+BZ11)=3,"Válido","No válido")</f>
        <v>No válido</v>
      </c>
      <c r="CC11" s="120" t="str">
        <f>IF(BH11&lt;1.5,"1","0")</f>
        <v>1</v>
      </c>
      <c r="CD11" s="120" t="str">
        <f t="shared" ref="CD11:CD42" si="19">IF(G11="1",IF(BE11&gt;N11,"1","0"),IF(BE11&gt;AB11,"1","0"))</f>
        <v>1</v>
      </c>
      <c r="CE11" s="120" t="str">
        <f t="shared" ref="CE11:CE42" si="20">IF(G11="1",IF(BE11&gt;J11,"1","0"),IF(BE11&gt;L11,"1","0"))</f>
        <v>0</v>
      </c>
      <c r="CF11" s="120" t="str">
        <f>IF((CC11+CD11+CE11)=3,"Válido","No válido")</f>
        <v>No válido</v>
      </c>
    </row>
    <row r="12" spans="1:84" x14ac:dyDescent="0.25">
      <c r="A12" s="150" t="s">
        <v>78</v>
      </c>
      <c r="D12" s="120">
        <v>2</v>
      </c>
      <c r="E12" s="24">
        <f>'Cálculos - Distintas Ecuaciones'!F17</f>
        <v>250</v>
      </c>
      <c r="F12" s="39">
        <f>'Cálculos - Distintas Ecuaciones'!Z17+Cunetas!J49+Cunetas!J50+Cunetas!J51</f>
        <v>2.1103117102774833</v>
      </c>
      <c r="G12" s="50" t="str">
        <f t="shared" ref="G12:G75" si="21">IF(K12="Circular","1",IF(K12="Cajón","2",""))</f>
        <v>1</v>
      </c>
      <c r="H12" s="120">
        <f t="shared" ref="H12:H75" si="22">IF(G12="1",0.024,IF(G12="2",0.014,""))</f>
        <v>2.4E-2</v>
      </c>
      <c r="I12" s="20">
        <f t="shared" ref="I12:I75" si="23">$O$5/100</f>
        <v>0.02</v>
      </c>
      <c r="J12" s="45">
        <v>1.2</v>
      </c>
      <c r="K12" s="67" t="str">
        <f t="shared" ref="K12:K75" si="24">IF(J12&lt;1.8,"Circular","Cajón")</f>
        <v>Circular</v>
      </c>
      <c r="L12" s="45"/>
      <c r="M12" s="45"/>
      <c r="N12" s="5">
        <v>0.79989985218169479</v>
      </c>
      <c r="O12" s="5">
        <f t="shared" ref="O12:O75" si="25">IF(G12="1",2*ACOS(1-((2*N12)/J12)),"")</f>
        <v>3.820912407569502</v>
      </c>
      <c r="P12" s="5">
        <f t="shared" ref="P12:P75" si="26">IF(G12="1",J12*SIN(O12/2),"")</f>
        <v>1.1314416451549529</v>
      </c>
      <c r="Q12" s="5">
        <f t="shared" ref="Q12:Q75" si="27">IF(G12="1",((J12^2)/8)*(O12-SIN(O12)),"")</f>
        <v>0.80085174217185462</v>
      </c>
      <c r="R12" s="5">
        <f t="shared" ref="R12:R75" si="28">IF(G12="1",0.5*J12*O12,"")</f>
        <v>2.2925474445417011</v>
      </c>
      <c r="S12" s="5">
        <f t="shared" ref="S12:S75" si="29">IF(G12="1",Q12/R12,"")</f>
        <v>0.34932831775350737</v>
      </c>
      <c r="T12" s="117">
        <f t="shared" ref="T12:T75" si="30">IF(G12="1",(F12/Q12)/(SQRT(9.81*(1/8)*J12*((O12-SIN(O12))/(SIN(O12/2))))),"")</f>
        <v>0.99999999561051567</v>
      </c>
      <c r="U12" s="5">
        <f t="shared" ref="U12:U75" si="31">IF(G12="1",F12/Q12,"")</f>
        <v>2.6350841225049515</v>
      </c>
      <c r="V12" s="39">
        <f t="shared" ref="V12:V75" si="32">IF(G12="1",((U12*H12)/((S12^(2/3))))^2,"")</f>
        <v>1.6256725098491673E-2</v>
      </c>
      <c r="W12" s="46" t="str">
        <f t="shared" ref="W12:W75" si="33">IF(G12="1",IF(U12&lt;4.5,"Aceptable","Corregir"),"")</f>
        <v>Aceptable</v>
      </c>
      <c r="X12" s="5">
        <f t="shared" ref="X12:X75" si="34">IF(G12="1",F12^2/9.81,"")</f>
        <v>0.45396692299024227</v>
      </c>
      <c r="Y12" s="5">
        <f t="shared" ref="Y12:Y75" si="35">IF(G12="1",(J12^5/512)*((O12-SIN(O12))^3/(SIN(O12/2))),"")</f>
        <v>0.45396692697560365</v>
      </c>
      <c r="Z12" s="5">
        <f t="shared" ref="Z12:Z75" si="36">IF(G12="1",X12-Y12,"")</f>
        <v>-3.9853613742479865E-9</v>
      </c>
      <c r="AB12" s="120"/>
      <c r="AC12" s="120" t="str">
        <f t="shared" ref="AC12:AC75" si="37">IF(G12="1","",IF(G12="2",M12,""))</f>
        <v/>
      </c>
      <c r="AD12" s="120" t="str">
        <f t="shared" ref="AD12:AD75" si="38">IF(G12="1","",IF(G12="2",M12*AB12,""))</f>
        <v/>
      </c>
      <c r="AE12" s="120" t="str">
        <f t="shared" ref="AE12:AE75" si="39">IF(G12="1","",IF(G12="2",M12+(2*AB12),""))</f>
        <v/>
      </c>
      <c r="AF12" s="120" t="str">
        <f t="shared" ref="AF12:AF75" si="40">IF(G12="1","",IF(G12="2",AD12/AE12,""))</f>
        <v/>
      </c>
      <c r="AG12" s="120" t="str">
        <f t="shared" ref="AG12:AG75" si="41">IF(G12="1","",IF(G12="2",(F12/AD12)/(SQRT(9.81*AB12)),""))</f>
        <v/>
      </c>
      <c r="AH12" s="120" t="str">
        <f t="shared" ref="AH12:AH75" si="42">IF(G12="1","",IF(G12="2",F12/AD12,""))</f>
        <v/>
      </c>
      <c r="AI12" s="120" t="str">
        <f t="shared" ref="AI12:AI75" si="43">IF(G12="1","",IF(G12="2",((AH12*H12)/((AF12^(2/3))))^2,""))</f>
        <v/>
      </c>
      <c r="AJ12" s="46" t="str">
        <f t="shared" ref="AJ12:AJ75" si="44">IF(G12="1","",IF(G12="2",IF(AH12&lt;5,"Aceptable","Corregir")))</f>
        <v/>
      </c>
      <c r="AK12" s="120" t="str">
        <f t="shared" ref="AK12:AK75" si="45">IF(G12="1","",IF(G12="2",AB12^3,""))</f>
        <v/>
      </c>
      <c r="AL12" s="120" t="str">
        <f t="shared" ref="AL12:AL75" si="46">IF(G12="1","",IF(G12="2",(F12^2)/(9.81*M12^2),""))</f>
        <v/>
      </c>
      <c r="AM12" s="120" t="str">
        <f t="shared" ref="AM12:AM75" si="47">IF(G12="1","",IF(G12="2",AK12-AL12,""))</f>
        <v/>
      </c>
      <c r="AN12" s="211">
        <v>20</v>
      </c>
      <c r="AP12" s="39">
        <f t="shared" si="0"/>
        <v>0.167433</v>
      </c>
      <c r="AQ12" s="39">
        <f t="shared" si="1"/>
        <v>0.53859500000000005</v>
      </c>
      <c r="AR12" s="39">
        <f t="shared" si="2"/>
        <v>-0.14937</v>
      </c>
      <c r="AS12" s="39">
        <f t="shared" si="3"/>
        <v>3.9154000000000001E-2</v>
      </c>
      <c r="AT12" s="39">
        <f t="shared" si="4"/>
        <v>-3.4399999999999999E-3</v>
      </c>
      <c r="AU12" s="39">
        <f t="shared" si="5"/>
        <v>1.16E-4</v>
      </c>
      <c r="AV12" s="39">
        <f t="shared" si="6"/>
        <v>1.2403946360792226</v>
      </c>
      <c r="AX12" s="157">
        <v>10.35</v>
      </c>
      <c r="AY12" s="120">
        <f t="shared" si="7"/>
        <v>0.20699999999999999</v>
      </c>
      <c r="AZ12" s="39">
        <f t="shared" si="8"/>
        <v>0.35390766221598829</v>
      </c>
      <c r="BA12" s="118">
        <f t="shared" si="9"/>
        <v>0.2</v>
      </c>
      <c r="BB12" s="39">
        <f t="shared" ref="BB12:BB75" si="48">AZ12*BA12</f>
        <v>7.0781532443197667E-2</v>
      </c>
      <c r="BC12" s="39">
        <f t="shared" si="10"/>
        <v>0.16825710476938879</v>
      </c>
      <c r="BD12" s="39">
        <f t="shared" si="11"/>
        <v>0.5929462994285748</v>
      </c>
      <c r="BE12" s="39">
        <f t="shared" si="12"/>
        <v>0.99994992609084732</v>
      </c>
      <c r="BF12" s="39">
        <f t="shared" si="13"/>
        <v>1.385896225519422</v>
      </c>
      <c r="BG12" s="39">
        <f t="shared" ref="BG12:BG75" si="49">IF(AV12&gt;BF12,AV12,BF12)</f>
        <v>1.385896225519422</v>
      </c>
      <c r="BH12" s="39">
        <f t="shared" ref="BH12:BH75" si="50">IF(G12="1",(BG12-AY12)/J12,IF(G12="2",(BG12-AY12)/L12,""))</f>
        <v>0.98241352126618497</v>
      </c>
      <c r="BI12" s="39">
        <f t="shared" ref="BI12:BI43" si="51">IF(G12="1",BF12/J12,IF(G12="2",BF12/L12))</f>
        <v>1.1549135212661852</v>
      </c>
      <c r="BK12" s="129" t="str">
        <f t="shared" ref="BK12:BK75" si="52">IF(BH12&gt;1,"1","0")</f>
        <v>0</v>
      </c>
      <c r="BL12" s="120" t="str">
        <f t="shared" ref="BL12:BL75" si="53">IF(BI12&gt;1,"1","0")</f>
        <v>1</v>
      </c>
      <c r="BM12" s="120" t="str">
        <f t="shared" ref="BM12:BM75" si="54">IF((BK12+BL12)=2,"Válido","No válido")</f>
        <v>No válido</v>
      </c>
      <c r="BN12" s="36"/>
      <c r="BO12" s="129" t="str">
        <f t="shared" si="14"/>
        <v>1</v>
      </c>
      <c r="BP12" s="120" t="str">
        <f t="shared" ref="BP12:BP43" si="55">IF(G12="1",IF(BF12&lt;N12,"1","0"),IF(BF12&lt;AB12,"1","0"))</f>
        <v>0</v>
      </c>
      <c r="BQ12" s="120" t="str">
        <f t="shared" si="15"/>
        <v>0</v>
      </c>
      <c r="BR12" s="120" t="str">
        <f t="shared" si="16"/>
        <v>No válido</v>
      </c>
      <c r="BT12" s="129" t="str">
        <f t="shared" ref="BT12:BT75" si="56">IF(BH12&gt;=1.5,"1","0")</f>
        <v>0</v>
      </c>
      <c r="BU12" s="120" t="str">
        <f t="shared" ref="BU12:BU75" si="57">IF(BI12&lt;=1,"1","0")</f>
        <v>0</v>
      </c>
      <c r="BV12" s="120" t="str">
        <f t="shared" ref="BV12:BV75" si="58">IF((BT12+BU12)=2,"Válido","No válido")</f>
        <v>No válido</v>
      </c>
      <c r="BX12" s="129" t="str">
        <f t="shared" ref="BX12:BX75" si="59">IF(BH12&lt;1.5,"1","0")</f>
        <v>1</v>
      </c>
      <c r="BY12" s="129" t="str">
        <f t="shared" si="17"/>
        <v>0</v>
      </c>
      <c r="BZ12" s="27" t="str">
        <f t="shared" si="18"/>
        <v>1</v>
      </c>
      <c r="CA12" s="120" t="str">
        <f t="shared" ref="CA12:CA75" si="60">IF((BX12+BY12+BZ12)=3,"Válido","No válido")</f>
        <v>No válido</v>
      </c>
      <c r="CC12" s="129" t="str">
        <f t="shared" ref="CC12:CC75" si="61">IF(BH12&lt;1.5,"1","0")</f>
        <v>1</v>
      </c>
      <c r="CD12" s="129" t="str">
        <f t="shared" si="19"/>
        <v>1</v>
      </c>
      <c r="CE12" s="129" t="str">
        <f t="shared" si="20"/>
        <v>0</v>
      </c>
      <c r="CF12" s="120" t="str">
        <f t="shared" ref="CF12:CF75" si="62">IF((CC12+CD12+CE12)=3,"Válido","No válido")</f>
        <v>No válido</v>
      </c>
    </row>
    <row r="13" spans="1:84" x14ac:dyDescent="0.25">
      <c r="A13" s="150" t="s">
        <v>162</v>
      </c>
      <c r="D13" s="120">
        <v>3</v>
      </c>
      <c r="E13" s="24">
        <f>'Cálculos - Distintas Ecuaciones'!F18</f>
        <v>436.2</v>
      </c>
      <c r="F13" s="39">
        <f>'Cálculos - Distintas Ecuaciones'!Z18+Cunetas!J52+Cunetas!J54</f>
        <v>1.8575905555427397</v>
      </c>
      <c r="G13" s="50" t="str">
        <f t="shared" si="21"/>
        <v>1</v>
      </c>
      <c r="H13" s="120">
        <f t="shared" si="22"/>
        <v>2.4E-2</v>
      </c>
      <c r="I13" s="20">
        <f t="shared" si="23"/>
        <v>0.02</v>
      </c>
      <c r="J13" s="45">
        <v>1.2</v>
      </c>
      <c r="K13" s="67" t="str">
        <f t="shared" si="24"/>
        <v>Circular</v>
      </c>
      <c r="L13" s="45"/>
      <c r="M13" s="45"/>
      <c r="N13" s="5">
        <v>0.74883013562726808</v>
      </c>
      <c r="O13" s="5">
        <f t="shared" si="25"/>
        <v>3.6429267718605072</v>
      </c>
      <c r="P13" s="5">
        <f t="shared" si="26"/>
        <v>1.1624966077011476</v>
      </c>
      <c r="Q13" s="5">
        <f t="shared" si="27"/>
        <v>0.74223408283009173</v>
      </c>
      <c r="R13" s="5">
        <f t="shared" si="28"/>
        <v>2.1857560631163042</v>
      </c>
      <c r="S13" s="5">
        <f t="shared" si="29"/>
        <v>0.33957773026687355</v>
      </c>
      <c r="T13" s="117">
        <f t="shared" si="30"/>
        <v>0.9999999962003927</v>
      </c>
      <c r="U13" s="5">
        <f t="shared" si="31"/>
        <v>2.5027017736235773</v>
      </c>
      <c r="V13" s="39">
        <f t="shared" si="32"/>
        <v>1.5228428361955699E-2</v>
      </c>
      <c r="W13" s="46" t="str">
        <f t="shared" si="33"/>
        <v>Aceptable</v>
      </c>
      <c r="X13" s="5">
        <f t="shared" si="34"/>
        <v>0.3517474691173888</v>
      </c>
      <c r="Y13" s="5">
        <f t="shared" si="35"/>
        <v>0.35174747179039334</v>
      </c>
      <c r="Z13" s="5">
        <f t="shared" si="36"/>
        <v>-2.6730045399325775E-9</v>
      </c>
      <c r="AB13" s="120"/>
      <c r="AC13" s="120" t="str">
        <f t="shared" si="37"/>
        <v/>
      </c>
      <c r="AD13" s="120" t="str">
        <f t="shared" si="38"/>
        <v/>
      </c>
      <c r="AE13" s="120" t="str">
        <f t="shared" si="39"/>
        <v/>
      </c>
      <c r="AF13" s="120" t="str">
        <f t="shared" si="40"/>
        <v/>
      </c>
      <c r="AG13" s="120" t="str">
        <f t="shared" si="41"/>
        <v/>
      </c>
      <c r="AH13" s="120" t="str">
        <f t="shared" si="42"/>
        <v/>
      </c>
      <c r="AI13" s="120" t="str">
        <f t="shared" si="43"/>
        <v/>
      </c>
      <c r="AJ13" s="46" t="str">
        <f t="shared" si="44"/>
        <v/>
      </c>
      <c r="AK13" s="120" t="str">
        <f t="shared" si="45"/>
        <v/>
      </c>
      <c r="AL13" s="120" t="str">
        <f t="shared" si="46"/>
        <v/>
      </c>
      <c r="AM13" s="120" t="str">
        <f t="shared" si="47"/>
        <v/>
      </c>
      <c r="AN13" s="211">
        <v>0</v>
      </c>
      <c r="AP13" s="39">
        <f t="shared" si="0"/>
        <v>0.167433</v>
      </c>
      <c r="AQ13" s="39">
        <f t="shared" si="1"/>
        <v>0.53859500000000005</v>
      </c>
      <c r="AR13" s="39">
        <f t="shared" si="2"/>
        <v>-0.14937</v>
      </c>
      <c r="AS13" s="39">
        <f t="shared" si="3"/>
        <v>3.9154000000000001E-2</v>
      </c>
      <c r="AT13" s="39">
        <f t="shared" si="4"/>
        <v>-3.4399999999999999E-3</v>
      </c>
      <c r="AU13" s="39">
        <f t="shared" si="5"/>
        <v>1.16E-4</v>
      </c>
      <c r="AV13" s="39">
        <f t="shared" si="6"/>
        <v>1.1286613466999726</v>
      </c>
      <c r="AX13" s="157">
        <v>15.4</v>
      </c>
      <c r="AY13" s="120">
        <f t="shared" si="7"/>
        <v>0.308</v>
      </c>
      <c r="AZ13" s="39">
        <f t="shared" si="8"/>
        <v>0.31924139488779812</v>
      </c>
      <c r="BA13" s="118">
        <f t="shared" si="9"/>
        <v>0.2</v>
      </c>
      <c r="BB13" s="39">
        <f t="shared" si="48"/>
        <v>6.3848278977559625E-2</v>
      </c>
      <c r="BC13" s="39">
        <f t="shared" si="10"/>
        <v>0.23451779677411774</v>
      </c>
      <c r="BD13" s="39">
        <f t="shared" si="11"/>
        <v>0.61760747063947552</v>
      </c>
      <c r="BE13" s="39">
        <f t="shared" si="12"/>
        <v>0.97441506781363407</v>
      </c>
      <c r="BF13" s="39">
        <f t="shared" si="13"/>
        <v>1.2840225384531097</v>
      </c>
      <c r="BG13" s="39">
        <f t="shared" si="49"/>
        <v>1.2840225384531097</v>
      </c>
      <c r="BH13" s="39">
        <f t="shared" si="50"/>
        <v>0.81335211537759133</v>
      </c>
      <c r="BI13" s="39">
        <f t="shared" si="51"/>
        <v>1.0700187820442582</v>
      </c>
      <c r="BK13" s="129" t="str">
        <f t="shared" si="52"/>
        <v>0</v>
      </c>
      <c r="BL13" s="120" t="str">
        <f t="shared" si="53"/>
        <v>1</v>
      </c>
      <c r="BM13" s="120" t="str">
        <f t="shared" si="54"/>
        <v>No válido</v>
      </c>
      <c r="BN13" s="36"/>
      <c r="BO13" s="129" t="str">
        <f t="shared" si="14"/>
        <v>1</v>
      </c>
      <c r="BP13" s="120" t="str">
        <f t="shared" si="55"/>
        <v>0</v>
      </c>
      <c r="BQ13" s="120" t="str">
        <f t="shared" si="15"/>
        <v>0</v>
      </c>
      <c r="BR13" s="120" t="str">
        <f t="shared" si="16"/>
        <v>No válido</v>
      </c>
      <c r="BT13" s="129" t="str">
        <f t="shared" si="56"/>
        <v>0</v>
      </c>
      <c r="BU13" s="120" t="str">
        <f t="shared" si="57"/>
        <v>0</v>
      </c>
      <c r="BV13" s="120" t="str">
        <f t="shared" si="58"/>
        <v>No válido</v>
      </c>
      <c r="BX13" s="129" t="str">
        <f t="shared" si="59"/>
        <v>1</v>
      </c>
      <c r="BY13" s="129" t="str">
        <f t="shared" si="17"/>
        <v>0</v>
      </c>
      <c r="BZ13" s="27" t="str">
        <f t="shared" si="18"/>
        <v>1</v>
      </c>
      <c r="CA13" s="120" t="str">
        <f t="shared" si="60"/>
        <v>No válido</v>
      </c>
      <c r="CC13" s="129" t="str">
        <f t="shared" si="61"/>
        <v>1</v>
      </c>
      <c r="CD13" s="129" t="str">
        <f t="shared" si="19"/>
        <v>1</v>
      </c>
      <c r="CE13" s="129" t="str">
        <f t="shared" si="20"/>
        <v>0</v>
      </c>
      <c r="CF13" s="120" t="str">
        <f t="shared" si="62"/>
        <v>No válido</v>
      </c>
    </row>
    <row r="14" spans="1:84" x14ac:dyDescent="0.25">
      <c r="A14" s="150" t="s">
        <v>80</v>
      </c>
      <c r="B14" t="s">
        <v>305</v>
      </c>
      <c r="D14" s="120">
        <v>4</v>
      </c>
      <c r="E14" s="24">
        <f>'Cálculos - Distintas Ecuaciones'!F19</f>
        <v>858</v>
      </c>
      <c r="F14" s="39">
        <f>'Cálculos - Distintas Ecuaciones'!Z19+Cunetas!J55</f>
        <v>0.4545809041495375</v>
      </c>
      <c r="G14" s="50" t="str">
        <f t="shared" si="21"/>
        <v>1</v>
      </c>
      <c r="H14" s="120">
        <f t="shared" si="22"/>
        <v>2.4E-2</v>
      </c>
      <c r="I14" s="20">
        <f t="shared" si="23"/>
        <v>0.02</v>
      </c>
      <c r="J14" s="45">
        <v>1.2</v>
      </c>
      <c r="K14" s="67" t="str">
        <f t="shared" si="24"/>
        <v>Circular</v>
      </c>
      <c r="L14" s="45"/>
      <c r="M14" s="45"/>
      <c r="N14" s="5">
        <v>0.35971868631506504</v>
      </c>
      <c r="O14" s="5">
        <f t="shared" si="25"/>
        <v>2.3175357191900652</v>
      </c>
      <c r="P14" s="5">
        <f t="shared" si="26"/>
        <v>1.0995724447144752</v>
      </c>
      <c r="Q14" s="5">
        <f t="shared" si="27"/>
        <v>0.28505307370033689</v>
      </c>
      <c r="R14" s="5">
        <f t="shared" si="28"/>
        <v>1.3905214315140391</v>
      </c>
      <c r="S14" s="5">
        <f t="shared" si="29"/>
        <v>0.20499725300167654</v>
      </c>
      <c r="T14" s="117">
        <f t="shared" si="30"/>
        <v>1.0000000365579977</v>
      </c>
      <c r="U14" s="5">
        <f t="shared" si="31"/>
        <v>1.5947237412616619</v>
      </c>
      <c r="V14" s="39">
        <f t="shared" si="32"/>
        <v>1.2118885465777789E-2</v>
      </c>
      <c r="W14" s="46" t="str">
        <f t="shared" si="33"/>
        <v>Aceptable</v>
      </c>
      <c r="X14" s="5">
        <f t="shared" si="34"/>
        <v>2.1064607381999084E-2</v>
      </c>
      <c r="Y14" s="5">
        <f t="shared" si="35"/>
        <v>2.1064605841839435E-2</v>
      </c>
      <c r="Z14" s="5">
        <f t="shared" si="36"/>
        <v>1.5401596491215752E-9</v>
      </c>
      <c r="AB14" s="120"/>
      <c r="AC14" s="120" t="str">
        <f t="shared" si="37"/>
        <v/>
      </c>
      <c r="AD14" s="120" t="str">
        <f t="shared" si="38"/>
        <v/>
      </c>
      <c r="AE14" s="120" t="str">
        <f t="shared" si="39"/>
        <v/>
      </c>
      <c r="AF14" s="120" t="str">
        <f t="shared" si="40"/>
        <v/>
      </c>
      <c r="AG14" s="120" t="str">
        <f t="shared" si="41"/>
        <v/>
      </c>
      <c r="AH14" s="120" t="str">
        <f t="shared" si="42"/>
        <v/>
      </c>
      <c r="AI14" s="120" t="str">
        <f t="shared" si="43"/>
        <v/>
      </c>
      <c r="AJ14" s="46" t="str">
        <f t="shared" si="44"/>
        <v/>
      </c>
      <c r="AK14" s="120" t="str">
        <f t="shared" si="45"/>
        <v/>
      </c>
      <c r="AL14" s="120" t="str">
        <f t="shared" si="46"/>
        <v/>
      </c>
      <c r="AM14" s="120" t="str">
        <f t="shared" si="47"/>
        <v/>
      </c>
      <c r="AN14" s="211">
        <v>7</v>
      </c>
      <c r="AP14" s="39">
        <f t="shared" si="0"/>
        <v>0.167433</v>
      </c>
      <c r="AQ14" s="39">
        <f t="shared" si="1"/>
        <v>0.53859500000000005</v>
      </c>
      <c r="AR14" s="39">
        <f t="shared" si="2"/>
        <v>-0.14937</v>
      </c>
      <c r="AS14" s="39">
        <f t="shared" si="3"/>
        <v>3.9154000000000001E-2</v>
      </c>
      <c r="AT14" s="39">
        <f t="shared" si="4"/>
        <v>-3.4399999999999999E-3</v>
      </c>
      <c r="AU14" s="39">
        <f t="shared" si="5"/>
        <v>1.16E-4</v>
      </c>
      <c r="AV14" s="39">
        <f t="shared" si="6"/>
        <v>0.48382439417341178</v>
      </c>
      <c r="AX14" s="157">
        <v>9.25</v>
      </c>
      <c r="AY14" s="120">
        <f t="shared" si="7"/>
        <v>0.185</v>
      </c>
      <c r="AZ14" s="39">
        <f t="shared" si="8"/>
        <v>0.12961996997673761</v>
      </c>
      <c r="BA14" s="118">
        <f t="shared" si="9"/>
        <v>0.2</v>
      </c>
      <c r="BB14" s="39">
        <f t="shared" si="48"/>
        <v>2.5923993995347522E-2</v>
      </c>
      <c r="BC14" s="39">
        <f t="shared" si="10"/>
        <v>0.11209969055844454</v>
      </c>
      <c r="BD14" s="39">
        <f t="shared" si="11"/>
        <v>0.26764365453052968</v>
      </c>
      <c r="BE14" s="39">
        <f t="shared" si="12"/>
        <v>0.77985934315753247</v>
      </c>
      <c r="BF14" s="39">
        <f t="shared" si="13"/>
        <v>0.86250299768806205</v>
      </c>
      <c r="BG14" s="39">
        <f t="shared" si="49"/>
        <v>0.86250299768806205</v>
      </c>
      <c r="BH14" s="39">
        <f t="shared" si="50"/>
        <v>0.56458583140671836</v>
      </c>
      <c r="BI14" s="39">
        <f t="shared" si="51"/>
        <v>0.71875249807338504</v>
      </c>
      <c r="BK14" s="129" t="str">
        <f t="shared" si="52"/>
        <v>0</v>
      </c>
      <c r="BL14" s="120" t="str">
        <f t="shared" si="53"/>
        <v>0</v>
      </c>
      <c r="BM14" s="120" t="str">
        <f t="shared" si="54"/>
        <v>No válido</v>
      </c>
      <c r="BN14" s="36"/>
      <c r="BO14" s="129" t="str">
        <f t="shared" si="14"/>
        <v>1</v>
      </c>
      <c r="BP14" s="120" t="str">
        <f t="shared" si="55"/>
        <v>0</v>
      </c>
      <c r="BQ14" s="120" t="str">
        <f t="shared" si="15"/>
        <v>0</v>
      </c>
      <c r="BR14" s="120" t="str">
        <f t="shared" si="16"/>
        <v>No válido</v>
      </c>
      <c r="BT14" s="129" t="str">
        <f t="shared" si="56"/>
        <v>0</v>
      </c>
      <c r="BU14" s="120" t="str">
        <f t="shared" si="57"/>
        <v>1</v>
      </c>
      <c r="BV14" s="120" t="str">
        <f t="shared" si="58"/>
        <v>No válido</v>
      </c>
      <c r="BX14" s="129" t="str">
        <f t="shared" si="59"/>
        <v>1</v>
      </c>
      <c r="BY14" s="129" t="str">
        <f t="shared" si="17"/>
        <v>0</v>
      </c>
      <c r="BZ14" s="27" t="str">
        <f t="shared" si="18"/>
        <v>1</v>
      </c>
      <c r="CA14" s="120" t="str">
        <f t="shared" si="60"/>
        <v>No válido</v>
      </c>
      <c r="CC14" s="129" t="str">
        <f t="shared" si="61"/>
        <v>1</v>
      </c>
      <c r="CD14" s="129" t="str">
        <f t="shared" si="19"/>
        <v>1</v>
      </c>
      <c r="CE14" s="129" t="str">
        <f t="shared" si="20"/>
        <v>0</v>
      </c>
      <c r="CF14" s="120" t="str">
        <f t="shared" si="62"/>
        <v>No válido</v>
      </c>
    </row>
    <row r="15" spans="1:84" x14ac:dyDescent="0.25">
      <c r="A15" s="150" t="s">
        <v>80</v>
      </c>
      <c r="D15" s="120">
        <v>5</v>
      </c>
      <c r="E15" s="24">
        <f>'Cálculos - Distintas Ecuaciones'!F20</f>
        <v>1040</v>
      </c>
      <c r="F15" s="39">
        <f>'Cálculos - Distintas Ecuaciones'!Z20+Cunetas!J56</f>
        <v>0.34210766194589926</v>
      </c>
      <c r="G15" s="50" t="str">
        <f t="shared" si="21"/>
        <v>1</v>
      </c>
      <c r="H15" s="120">
        <f t="shared" si="22"/>
        <v>2.4E-2</v>
      </c>
      <c r="I15" s="20">
        <f t="shared" si="23"/>
        <v>0.02</v>
      </c>
      <c r="J15" s="45">
        <v>1.2</v>
      </c>
      <c r="K15" s="67" t="str">
        <f t="shared" si="24"/>
        <v>Circular</v>
      </c>
      <c r="L15" s="45"/>
      <c r="M15" s="45"/>
      <c r="N15" s="5">
        <v>0.31075184614091683</v>
      </c>
      <c r="O15" s="5">
        <f t="shared" si="25"/>
        <v>2.1355375672385444</v>
      </c>
      <c r="P15" s="5">
        <f t="shared" si="26"/>
        <v>1.0513524727494812</v>
      </c>
      <c r="Q15" s="5">
        <f t="shared" si="27"/>
        <v>0.23234588120395325</v>
      </c>
      <c r="R15" s="5">
        <f t="shared" si="28"/>
        <v>1.2813225403431265</v>
      </c>
      <c r="S15" s="5">
        <f t="shared" si="29"/>
        <v>0.18133286029740267</v>
      </c>
      <c r="T15" s="117">
        <f t="shared" si="30"/>
        <v>1.0000000005113152</v>
      </c>
      <c r="U15" s="5">
        <f t="shared" si="31"/>
        <v>1.4724068280151568</v>
      </c>
      <c r="V15" s="39">
        <f t="shared" si="32"/>
        <v>1.2166792820574264E-2</v>
      </c>
      <c r="W15" s="46" t="str">
        <f t="shared" si="33"/>
        <v>Aceptable</v>
      </c>
      <c r="X15" s="5">
        <f t="shared" si="34"/>
        <v>1.1930443665860314E-2</v>
      </c>
      <c r="Y15" s="5">
        <f t="shared" si="35"/>
        <v>1.1930443653659879E-2</v>
      </c>
      <c r="Z15" s="5">
        <f t="shared" si="36"/>
        <v>1.2200435106635155E-11</v>
      </c>
      <c r="AB15" s="120"/>
      <c r="AC15" s="120" t="str">
        <f t="shared" si="37"/>
        <v/>
      </c>
      <c r="AD15" s="120" t="str">
        <f t="shared" si="38"/>
        <v/>
      </c>
      <c r="AE15" s="120" t="str">
        <f t="shared" si="39"/>
        <v/>
      </c>
      <c r="AF15" s="120" t="str">
        <f t="shared" si="40"/>
        <v/>
      </c>
      <c r="AG15" s="120" t="str">
        <f t="shared" si="41"/>
        <v/>
      </c>
      <c r="AH15" s="120" t="str">
        <f t="shared" si="42"/>
        <v/>
      </c>
      <c r="AI15" s="120" t="str">
        <f t="shared" si="43"/>
        <v/>
      </c>
      <c r="AJ15" s="46" t="str">
        <f t="shared" si="44"/>
        <v/>
      </c>
      <c r="AK15" s="120" t="str">
        <f t="shared" si="45"/>
        <v/>
      </c>
      <c r="AL15" s="120" t="str">
        <f t="shared" si="46"/>
        <v/>
      </c>
      <c r="AM15" s="120" t="str">
        <f t="shared" si="47"/>
        <v/>
      </c>
      <c r="AN15" s="211">
        <v>3</v>
      </c>
      <c r="AP15" s="39">
        <f t="shared" si="0"/>
        <v>0.167433</v>
      </c>
      <c r="AQ15" s="39">
        <f t="shared" si="1"/>
        <v>0.53859500000000005</v>
      </c>
      <c r="AR15" s="39">
        <f t="shared" si="2"/>
        <v>-0.14937</v>
      </c>
      <c r="AS15" s="39">
        <f t="shared" si="3"/>
        <v>3.9154000000000001E-2</v>
      </c>
      <c r="AT15" s="39">
        <f t="shared" si="4"/>
        <v>-3.4399999999999999E-3</v>
      </c>
      <c r="AU15" s="39">
        <f t="shared" si="5"/>
        <v>1.16E-4</v>
      </c>
      <c r="AV15" s="39">
        <f t="shared" si="6"/>
        <v>0.41790106138296623</v>
      </c>
      <c r="AX15" s="157">
        <v>11.25</v>
      </c>
      <c r="AY15" s="120">
        <f t="shared" si="7"/>
        <v>0.22500000000000001</v>
      </c>
      <c r="AZ15" s="39">
        <f t="shared" si="8"/>
        <v>0.11049856611547683</v>
      </c>
      <c r="BA15" s="118">
        <f t="shared" si="9"/>
        <v>0.2</v>
      </c>
      <c r="BB15" s="39">
        <f t="shared" si="48"/>
        <v>2.2099713223095369E-2</v>
      </c>
      <c r="BC15" s="39">
        <f t="shared" si="10"/>
        <v>0.13687641923146046</v>
      </c>
      <c r="BD15" s="39">
        <f t="shared" si="11"/>
        <v>0.2694746985700327</v>
      </c>
      <c r="BE15" s="39">
        <f t="shared" si="12"/>
        <v>0.75537592307045842</v>
      </c>
      <c r="BF15" s="39">
        <f t="shared" si="13"/>
        <v>0.79985062164049114</v>
      </c>
      <c r="BG15" s="39">
        <f t="shared" si="49"/>
        <v>0.79985062164049114</v>
      </c>
      <c r="BH15" s="39">
        <f t="shared" si="50"/>
        <v>0.47904218470040932</v>
      </c>
      <c r="BI15" s="39">
        <f t="shared" si="51"/>
        <v>0.66654218470040927</v>
      </c>
      <c r="BK15" s="129" t="str">
        <f t="shared" si="52"/>
        <v>0</v>
      </c>
      <c r="BL15" s="120" t="str">
        <f t="shared" si="53"/>
        <v>0</v>
      </c>
      <c r="BM15" s="120" t="str">
        <f t="shared" si="54"/>
        <v>No válido</v>
      </c>
      <c r="BN15" s="36"/>
      <c r="BO15" s="129" t="str">
        <f t="shared" si="14"/>
        <v>1</v>
      </c>
      <c r="BP15" s="120" t="str">
        <f t="shared" si="55"/>
        <v>0</v>
      </c>
      <c r="BQ15" s="120" t="str">
        <f t="shared" si="15"/>
        <v>0</v>
      </c>
      <c r="BR15" s="120" t="str">
        <f t="shared" si="16"/>
        <v>No válido</v>
      </c>
      <c r="BT15" s="129" t="str">
        <f t="shared" si="56"/>
        <v>0</v>
      </c>
      <c r="BU15" s="120" t="str">
        <f t="shared" si="57"/>
        <v>1</v>
      </c>
      <c r="BV15" s="120" t="str">
        <f t="shared" si="58"/>
        <v>No válido</v>
      </c>
      <c r="BX15" s="129" t="str">
        <f t="shared" si="59"/>
        <v>1</v>
      </c>
      <c r="BY15" s="129" t="str">
        <f t="shared" si="17"/>
        <v>0</v>
      </c>
      <c r="BZ15" s="27" t="str">
        <f t="shared" si="18"/>
        <v>1</v>
      </c>
      <c r="CA15" s="120" t="str">
        <f t="shared" si="60"/>
        <v>No válido</v>
      </c>
      <c r="CC15" s="129" t="str">
        <f t="shared" si="61"/>
        <v>1</v>
      </c>
      <c r="CD15" s="129" t="str">
        <f t="shared" si="19"/>
        <v>1</v>
      </c>
      <c r="CE15" s="129" t="str">
        <f t="shared" si="20"/>
        <v>0</v>
      </c>
      <c r="CF15" s="120" t="str">
        <f t="shared" si="62"/>
        <v>No válido</v>
      </c>
    </row>
    <row r="16" spans="1:84" x14ac:dyDescent="0.25">
      <c r="A16" s="150" t="s">
        <v>80</v>
      </c>
      <c r="D16" s="120">
        <v>6</v>
      </c>
      <c r="E16" s="24">
        <f>'Cálculos - Distintas Ecuaciones'!F21</f>
        <v>1321.5</v>
      </c>
      <c r="F16" s="39">
        <f>'Cálculos - Distintas Ecuaciones'!Z21+Cunetas!J57+Cunetas!J58</f>
        <v>0.65228651563804774</v>
      </c>
      <c r="G16" s="50" t="str">
        <f t="shared" si="21"/>
        <v>1</v>
      </c>
      <c r="H16" s="120">
        <f t="shared" si="22"/>
        <v>2.4E-2</v>
      </c>
      <c r="I16" s="20">
        <f t="shared" si="23"/>
        <v>0.02</v>
      </c>
      <c r="J16" s="45">
        <v>1.2</v>
      </c>
      <c r="K16" s="67" t="str">
        <f t="shared" si="24"/>
        <v>Circular</v>
      </c>
      <c r="L16" s="45"/>
      <c r="M16" s="45"/>
      <c r="N16" s="5">
        <v>0.43361627335705366</v>
      </c>
      <c r="O16" s="5">
        <f t="shared" si="25"/>
        <v>2.5796142081430071</v>
      </c>
      <c r="P16" s="5">
        <f t="shared" si="26"/>
        <v>1.1529379090105509</v>
      </c>
      <c r="Q16" s="5">
        <f t="shared" si="27"/>
        <v>0.36841550452119048</v>
      </c>
      <c r="R16" s="5">
        <f t="shared" si="28"/>
        <v>1.5477685248858042</v>
      </c>
      <c r="S16" s="5">
        <f t="shared" si="29"/>
        <v>0.23803010501739758</v>
      </c>
      <c r="T16" s="117">
        <f t="shared" si="30"/>
        <v>1.0000000189418581</v>
      </c>
      <c r="U16" s="5">
        <f t="shared" si="31"/>
        <v>1.7705186335352223</v>
      </c>
      <c r="V16" s="39">
        <f t="shared" si="32"/>
        <v>1.2239987361083613E-2</v>
      </c>
      <c r="W16" s="46" t="str">
        <f t="shared" si="33"/>
        <v>Aceptable</v>
      </c>
      <c r="X16" s="5">
        <f t="shared" si="34"/>
        <v>4.3371834707770139E-2</v>
      </c>
      <c r="Y16" s="5">
        <f t="shared" si="35"/>
        <v>4.3371833064683896E-2</v>
      </c>
      <c r="Z16" s="5">
        <f t="shared" si="36"/>
        <v>1.6430862434524407E-9</v>
      </c>
      <c r="AB16" s="120"/>
      <c r="AC16" s="120" t="str">
        <f t="shared" si="37"/>
        <v/>
      </c>
      <c r="AD16" s="120" t="str">
        <f t="shared" si="38"/>
        <v/>
      </c>
      <c r="AE16" s="120" t="str">
        <f t="shared" si="39"/>
        <v/>
      </c>
      <c r="AF16" s="120" t="str">
        <f t="shared" si="40"/>
        <v/>
      </c>
      <c r="AG16" s="120" t="str">
        <f t="shared" si="41"/>
        <v/>
      </c>
      <c r="AH16" s="120" t="str">
        <f t="shared" si="42"/>
        <v/>
      </c>
      <c r="AI16" s="120" t="str">
        <f t="shared" si="43"/>
        <v/>
      </c>
      <c r="AJ16" s="46" t="str">
        <f t="shared" si="44"/>
        <v/>
      </c>
      <c r="AK16" s="120" t="str">
        <f t="shared" si="45"/>
        <v/>
      </c>
      <c r="AL16" s="120" t="str">
        <f t="shared" si="46"/>
        <v/>
      </c>
      <c r="AM16" s="120" t="str">
        <f t="shared" si="47"/>
        <v/>
      </c>
      <c r="AN16" s="211">
        <v>9</v>
      </c>
      <c r="AP16" s="39">
        <f t="shared" si="0"/>
        <v>0.167433</v>
      </c>
      <c r="AQ16" s="39">
        <f t="shared" si="1"/>
        <v>0.53859500000000005</v>
      </c>
      <c r="AR16" s="39">
        <f t="shared" si="2"/>
        <v>-0.14937</v>
      </c>
      <c r="AS16" s="39">
        <f t="shared" si="3"/>
        <v>3.9154000000000001E-2</v>
      </c>
      <c r="AT16" s="39">
        <f t="shared" si="4"/>
        <v>-3.4399999999999999E-3</v>
      </c>
      <c r="AU16" s="39">
        <f t="shared" si="5"/>
        <v>1.16E-4</v>
      </c>
      <c r="AV16" s="39">
        <f t="shared" si="6"/>
        <v>0.59092577841855365</v>
      </c>
      <c r="AX16" s="157">
        <v>10.1</v>
      </c>
      <c r="AY16" s="120">
        <f t="shared" si="7"/>
        <v>0.20199999999999999</v>
      </c>
      <c r="AZ16" s="39">
        <f t="shared" si="8"/>
        <v>0.15977248887336548</v>
      </c>
      <c r="BA16" s="118">
        <f t="shared" si="9"/>
        <v>0.2</v>
      </c>
      <c r="BB16" s="39">
        <f t="shared" si="48"/>
        <v>3.1954497774673095E-2</v>
      </c>
      <c r="BC16" s="39">
        <f t="shared" si="10"/>
        <v>0.12362387234694448</v>
      </c>
      <c r="BD16" s="39">
        <f t="shared" si="11"/>
        <v>0.31535085899498305</v>
      </c>
      <c r="BE16" s="39">
        <f t="shared" si="12"/>
        <v>0.81680813667852681</v>
      </c>
      <c r="BF16" s="39">
        <f t="shared" si="13"/>
        <v>0.9301589956735099</v>
      </c>
      <c r="BG16" s="39">
        <f t="shared" si="49"/>
        <v>0.9301589956735099</v>
      </c>
      <c r="BH16" s="39">
        <f t="shared" si="50"/>
        <v>0.60679916306125836</v>
      </c>
      <c r="BI16" s="39">
        <f t="shared" si="51"/>
        <v>0.77513249639459159</v>
      </c>
      <c r="BK16" s="129" t="str">
        <f t="shared" si="52"/>
        <v>0</v>
      </c>
      <c r="BL16" s="120" t="str">
        <f t="shared" si="53"/>
        <v>0</v>
      </c>
      <c r="BM16" s="120" t="str">
        <f t="shared" si="54"/>
        <v>No válido</v>
      </c>
      <c r="BN16" s="36"/>
      <c r="BO16" s="129" t="str">
        <f t="shared" si="14"/>
        <v>1</v>
      </c>
      <c r="BP16" s="120" t="str">
        <f t="shared" si="55"/>
        <v>0</v>
      </c>
      <c r="BQ16" s="120" t="str">
        <f t="shared" si="15"/>
        <v>0</v>
      </c>
      <c r="BR16" s="120" t="str">
        <f t="shared" si="16"/>
        <v>No válido</v>
      </c>
      <c r="BT16" s="129" t="str">
        <f t="shared" si="56"/>
        <v>0</v>
      </c>
      <c r="BU16" s="120" t="str">
        <f t="shared" si="57"/>
        <v>1</v>
      </c>
      <c r="BV16" s="120" t="str">
        <f t="shared" si="58"/>
        <v>No válido</v>
      </c>
      <c r="BX16" s="129" t="str">
        <f t="shared" si="59"/>
        <v>1</v>
      </c>
      <c r="BY16" s="129" t="str">
        <f t="shared" si="17"/>
        <v>0</v>
      </c>
      <c r="BZ16" s="27" t="str">
        <f t="shared" si="18"/>
        <v>1</v>
      </c>
      <c r="CA16" s="120" t="str">
        <f t="shared" si="60"/>
        <v>No válido</v>
      </c>
      <c r="CC16" s="129" t="str">
        <f t="shared" si="61"/>
        <v>1</v>
      </c>
      <c r="CD16" s="129" t="str">
        <f t="shared" si="19"/>
        <v>1</v>
      </c>
      <c r="CE16" s="129" t="str">
        <f t="shared" si="20"/>
        <v>0</v>
      </c>
      <c r="CF16" s="120" t="str">
        <f t="shared" si="62"/>
        <v>No válido</v>
      </c>
    </row>
    <row r="17" spans="1:84" x14ac:dyDescent="0.25">
      <c r="A17" s="150" t="s">
        <v>80</v>
      </c>
      <c r="D17" s="120">
        <v>7</v>
      </c>
      <c r="E17" s="24">
        <f>'Cálculos - Distintas Ecuaciones'!F22</f>
        <v>1440</v>
      </c>
      <c r="F17" s="39">
        <f>'Cálculos - Distintas Ecuaciones'!Z22+Cunetas!J59</f>
        <v>0.74559875230583617</v>
      </c>
      <c r="G17" s="50" t="str">
        <f t="shared" si="21"/>
        <v>1</v>
      </c>
      <c r="H17" s="120">
        <f t="shared" si="22"/>
        <v>2.4E-2</v>
      </c>
      <c r="I17" s="20">
        <f t="shared" si="23"/>
        <v>0.02</v>
      </c>
      <c r="J17" s="45">
        <v>1.2</v>
      </c>
      <c r="K17" s="67" t="str">
        <f t="shared" si="24"/>
        <v>Circular</v>
      </c>
      <c r="L17" s="45"/>
      <c r="M17" s="45"/>
      <c r="N17" s="5">
        <v>0.46480890515577616</v>
      </c>
      <c r="O17" s="5">
        <f t="shared" si="25"/>
        <v>2.6870528108850942</v>
      </c>
      <c r="P17" s="5">
        <f t="shared" si="26"/>
        <v>1.1691421947305127</v>
      </c>
      <c r="Q17" s="5">
        <f t="shared" si="27"/>
        <v>0.40464069929221858</v>
      </c>
      <c r="R17" s="5">
        <f t="shared" si="28"/>
        <v>1.6122316865310564</v>
      </c>
      <c r="S17" s="5">
        <f t="shared" si="29"/>
        <v>0.25098173089679193</v>
      </c>
      <c r="T17" s="117">
        <f t="shared" si="30"/>
        <v>0.99999998251438138</v>
      </c>
      <c r="U17" s="5">
        <f t="shared" si="31"/>
        <v>1.8426192758415252</v>
      </c>
      <c r="V17" s="39">
        <f t="shared" si="32"/>
        <v>1.2352955873933371E-2</v>
      </c>
      <c r="W17" s="46" t="str">
        <f t="shared" si="33"/>
        <v>Aceptable</v>
      </c>
      <c r="X17" s="5">
        <f t="shared" si="34"/>
        <v>5.6668450503569792E-2</v>
      </c>
      <c r="Y17" s="5">
        <f t="shared" si="35"/>
        <v>5.6668452485335676E-2</v>
      </c>
      <c r="Z17" s="5">
        <f t="shared" si="36"/>
        <v>-1.9817658833409801E-9</v>
      </c>
      <c r="AB17" s="120"/>
      <c r="AC17" s="120" t="str">
        <f t="shared" si="37"/>
        <v/>
      </c>
      <c r="AD17" s="120" t="str">
        <f t="shared" si="38"/>
        <v/>
      </c>
      <c r="AE17" s="120" t="str">
        <f t="shared" si="39"/>
        <v/>
      </c>
      <c r="AF17" s="120" t="str">
        <f t="shared" si="40"/>
        <v/>
      </c>
      <c r="AG17" s="120" t="str">
        <f t="shared" si="41"/>
        <v/>
      </c>
      <c r="AH17" s="120" t="str">
        <f t="shared" si="42"/>
        <v/>
      </c>
      <c r="AI17" s="120" t="str">
        <f t="shared" si="43"/>
        <v/>
      </c>
      <c r="AJ17" s="46" t="str">
        <f t="shared" si="44"/>
        <v/>
      </c>
      <c r="AK17" s="120" t="str">
        <f t="shared" si="45"/>
        <v/>
      </c>
      <c r="AL17" s="120" t="str">
        <f t="shared" si="46"/>
        <v/>
      </c>
      <c r="AM17" s="120" t="str">
        <f t="shared" si="47"/>
        <v/>
      </c>
      <c r="AN17" s="211">
        <v>16</v>
      </c>
      <c r="AP17" s="39">
        <f t="shared" si="0"/>
        <v>0.167433</v>
      </c>
      <c r="AQ17" s="39">
        <f t="shared" si="1"/>
        <v>0.53859500000000005</v>
      </c>
      <c r="AR17" s="39">
        <f t="shared" si="2"/>
        <v>-0.14937</v>
      </c>
      <c r="AS17" s="39">
        <f t="shared" si="3"/>
        <v>3.9154000000000001E-2</v>
      </c>
      <c r="AT17" s="39">
        <f t="shared" si="4"/>
        <v>-3.4399999999999999E-3</v>
      </c>
      <c r="AU17" s="39">
        <f t="shared" si="5"/>
        <v>1.16E-4</v>
      </c>
      <c r="AV17" s="39">
        <f t="shared" si="6"/>
        <v>0.63820379858197784</v>
      </c>
      <c r="AX17" s="157">
        <v>10.25</v>
      </c>
      <c r="AY17" s="120">
        <f t="shared" si="7"/>
        <v>0.20500000000000002</v>
      </c>
      <c r="AZ17" s="39">
        <f t="shared" si="8"/>
        <v>0.17305024442929393</v>
      </c>
      <c r="BA17" s="118">
        <f t="shared" si="9"/>
        <v>0.2</v>
      </c>
      <c r="BB17" s="39">
        <f t="shared" si="48"/>
        <v>3.4610048885858787E-2</v>
      </c>
      <c r="BC17" s="39">
        <f t="shared" si="10"/>
        <v>0.12661779770781706</v>
      </c>
      <c r="BD17" s="39">
        <f t="shared" si="11"/>
        <v>0.33427809102296979</v>
      </c>
      <c r="BE17" s="39">
        <f t="shared" si="12"/>
        <v>0.83240445257788809</v>
      </c>
      <c r="BF17" s="39">
        <f t="shared" si="13"/>
        <v>0.96168254360085781</v>
      </c>
      <c r="BG17" s="39">
        <f t="shared" si="49"/>
        <v>0.96168254360085781</v>
      </c>
      <c r="BH17" s="39">
        <f t="shared" si="50"/>
        <v>0.63056878633404811</v>
      </c>
      <c r="BI17" s="39">
        <f t="shared" si="51"/>
        <v>0.80140211966738151</v>
      </c>
      <c r="BK17" s="129" t="str">
        <f t="shared" si="52"/>
        <v>0</v>
      </c>
      <c r="BL17" s="120" t="str">
        <f t="shared" si="53"/>
        <v>0</v>
      </c>
      <c r="BM17" s="120" t="str">
        <f t="shared" si="54"/>
        <v>No válido</v>
      </c>
      <c r="BN17" s="36"/>
      <c r="BO17" s="129" t="str">
        <f t="shared" si="14"/>
        <v>1</v>
      </c>
      <c r="BP17" s="120" t="str">
        <f t="shared" si="55"/>
        <v>0</v>
      </c>
      <c r="BQ17" s="120" t="str">
        <f t="shared" si="15"/>
        <v>0</v>
      </c>
      <c r="BR17" s="120" t="str">
        <f t="shared" si="16"/>
        <v>No válido</v>
      </c>
      <c r="BT17" s="129" t="str">
        <f t="shared" si="56"/>
        <v>0</v>
      </c>
      <c r="BU17" s="120" t="str">
        <f t="shared" si="57"/>
        <v>1</v>
      </c>
      <c r="BV17" s="120" t="str">
        <f t="shared" si="58"/>
        <v>No válido</v>
      </c>
      <c r="BX17" s="129" t="str">
        <f t="shared" si="59"/>
        <v>1</v>
      </c>
      <c r="BY17" s="129" t="str">
        <f t="shared" si="17"/>
        <v>0</v>
      </c>
      <c r="BZ17" s="27" t="str">
        <f t="shared" si="18"/>
        <v>1</v>
      </c>
      <c r="CA17" s="120" t="str">
        <f t="shared" si="60"/>
        <v>No válido</v>
      </c>
      <c r="CC17" s="129" t="str">
        <f t="shared" si="61"/>
        <v>1</v>
      </c>
      <c r="CD17" s="129" t="str">
        <f t="shared" si="19"/>
        <v>1</v>
      </c>
      <c r="CE17" s="129" t="str">
        <f t="shared" si="20"/>
        <v>0</v>
      </c>
      <c r="CF17" s="120" t="str">
        <f t="shared" si="62"/>
        <v>No válido</v>
      </c>
    </row>
    <row r="18" spans="1:84" x14ac:dyDescent="0.25">
      <c r="A18" s="150" t="s">
        <v>80</v>
      </c>
      <c r="B18" t="s">
        <v>305</v>
      </c>
      <c r="D18" s="120">
        <v>8</v>
      </c>
      <c r="E18" s="24">
        <f>'Cálculos - Distintas Ecuaciones'!F23</f>
        <v>1719.5</v>
      </c>
      <c r="F18" s="39">
        <f>'Cálculos - Distintas Ecuaciones'!Z23+Cunetas!J60</f>
        <v>1.1933131127239724</v>
      </c>
      <c r="G18" s="50" t="str">
        <f t="shared" si="21"/>
        <v>1</v>
      </c>
      <c r="H18" s="120">
        <f t="shared" si="22"/>
        <v>2.4E-2</v>
      </c>
      <c r="I18" s="20">
        <f t="shared" si="23"/>
        <v>0.02</v>
      </c>
      <c r="J18" s="45">
        <v>1.2</v>
      </c>
      <c r="K18" s="67" t="str">
        <f t="shared" si="24"/>
        <v>Circular</v>
      </c>
      <c r="L18" s="45"/>
      <c r="M18" s="45"/>
      <c r="N18" s="5">
        <v>0.5941529953239848</v>
      </c>
      <c r="O18" s="5">
        <f t="shared" si="25"/>
        <v>3.1221023295110961</v>
      </c>
      <c r="P18" s="5">
        <f t="shared" si="26"/>
        <v>1.1999430195410423</v>
      </c>
      <c r="Q18" s="5">
        <f t="shared" si="27"/>
        <v>0.55847038308889307</v>
      </c>
      <c r="R18" s="5">
        <f t="shared" si="28"/>
        <v>1.8732613977066577</v>
      </c>
      <c r="S18" s="5">
        <f t="shared" si="29"/>
        <v>0.29812731088816596</v>
      </c>
      <c r="T18" s="117">
        <f t="shared" si="30"/>
        <v>1.0000000030378378</v>
      </c>
      <c r="U18" s="5">
        <f t="shared" si="31"/>
        <v>2.1367527246902007</v>
      </c>
      <c r="V18" s="39">
        <f t="shared" si="32"/>
        <v>1.3204703863860478E-2</v>
      </c>
      <c r="W18" s="46" t="str">
        <f t="shared" si="33"/>
        <v>Aceptable</v>
      </c>
      <c r="X18" s="5">
        <f t="shared" si="34"/>
        <v>0.14515761314974271</v>
      </c>
      <c r="Y18" s="5">
        <f t="shared" si="35"/>
        <v>0.14515761226781224</v>
      </c>
      <c r="Z18" s="5">
        <f t="shared" si="36"/>
        <v>8.8193047309559347E-10</v>
      </c>
      <c r="AB18" s="120"/>
      <c r="AC18" s="120" t="str">
        <f t="shared" si="37"/>
        <v/>
      </c>
      <c r="AD18" s="120" t="str">
        <f t="shared" si="38"/>
        <v/>
      </c>
      <c r="AE18" s="120" t="str">
        <f t="shared" si="39"/>
        <v/>
      </c>
      <c r="AF18" s="120" t="str">
        <f t="shared" si="40"/>
        <v/>
      </c>
      <c r="AG18" s="120" t="str">
        <f t="shared" si="41"/>
        <v/>
      </c>
      <c r="AH18" s="120" t="str">
        <f t="shared" si="42"/>
        <v/>
      </c>
      <c r="AI18" s="120" t="str">
        <f t="shared" si="43"/>
        <v/>
      </c>
      <c r="AJ18" s="46" t="str">
        <f t="shared" si="44"/>
        <v/>
      </c>
      <c r="AK18" s="120" t="str">
        <f t="shared" si="45"/>
        <v/>
      </c>
      <c r="AL18" s="120" t="str">
        <f t="shared" si="46"/>
        <v/>
      </c>
      <c r="AM18" s="120" t="str">
        <f t="shared" si="47"/>
        <v/>
      </c>
      <c r="AN18" s="211">
        <v>0</v>
      </c>
      <c r="AP18" s="39">
        <f t="shared" si="0"/>
        <v>0.167433</v>
      </c>
      <c r="AQ18" s="39">
        <f t="shared" si="1"/>
        <v>0.53859500000000005</v>
      </c>
      <c r="AR18" s="39">
        <f t="shared" si="2"/>
        <v>-0.14937</v>
      </c>
      <c r="AS18" s="39">
        <f t="shared" si="3"/>
        <v>3.9154000000000001E-2</v>
      </c>
      <c r="AT18" s="39">
        <f t="shared" si="4"/>
        <v>-3.4399999999999999E-3</v>
      </c>
      <c r="AU18" s="39">
        <f t="shared" si="5"/>
        <v>1.16E-4</v>
      </c>
      <c r="AV18" s="39">
        <f t="shared" si="6"/>
        <v>0.8449788498871843</v>
      </c>
      <c r="AX18" s="157">
        <v>11.25</v>
      </c>
      <c r="AY18" s="120">
        <f t="shared" si="7"/>
        <v>0.22500000000000001</v>
      </c>
      <c r="AZ18" s="39">
        <f t="shared" si="8"/>
        <v>0.23270704416263996</v>
      </c>
      <c r="BA18" s="118">
        <f t="shared" si="9"/>
        <v>0.2</v>
      </c>
      <c r="BB18" s="39">
        <f t="shared" si="48"/>
        <v>4.6541408832527997E-2</v>
      </c>
      <c r="BC18" s="39">
        <f t="shared" si="10"/>
        <v>0.14855291846843036</v>
      </c>
      <c r="BD18" s="39">
        <f t="shared" si="11"/>
        <v>0.42780137146359831</v>
      </c>
      <c r="BE18" s="39">
        <f t="shared" si="12"/>
        <v>0.89707649766199238</v>
      </c>
      <c r="BF18" s="39">
        <f t="shared" si="13"/>
        <v>1.0998778691255906</v>
      </c>
      <c r="BG18" s="39">
        <f t="shared" si="49"/>
        <v>1.0998778691255906</v>
      </c>
      <c r="BH18" s="39">
        <f t="shared" si="50"/>
        <v>0.7290648909379922</v>
      </c>
      <c r="BI18" s="39">
        <f t="shared" si="51"/>
        <v>0.9165648909379922</v>
      </c>
      <c r="BK18" s="129" t="str">
        <f t="shared" si="52"/>
        <v>0</v>
      </c>
      <c r="BL18" s="120" t="str">
        <f t="shared" si="53"/>
        <v>0</v>
      </c>
      <c r="BM18" s="120" t="str">
        <f t="shared" si="54"/>
        <v>No válido</v>
      </c>
      <c r="BN18" s="36"/>
      <c r="BO18" s="129" t="str">
        <f t="shared" si="14"/>
        <v>1</v>
      </c>
      <c r="BP18" s="120" t="str">
        <f t="shared" si="55"/>
        <v>0</v>
      </c>
      <c r="BQ18" s="120" t="str">
        <f t="shared" si="15"/>
        <v>0</v>
      </c>
      <c r="BR18" s="120" t="str">
        <f t="shared" si="16"/>
        <v>No válido</v>
      </c>
      <c r="BT18" s="129" t="str">
        <f t="shared" si="56"/>
        <v>0</v>
      </c>
      <c r="BU18" s="120" t="str">
        <f t="shared" si="57"/>
        <v>1</v>
      </c>
      <c r="BV18" s="120" t="str">
        <f t="shared" si="58"/>
        <v>No válido</v>
      </c>
      <c r="BX18" s="129" t="str">
        <f t="shared" si="59"/>
        <v>1</v>
      </c>
      <c r="BY18" s="129" t="str">
        <f t="shared" si="17"/>
        <v>0</v>
      </c>
      <c r="BZ18" s="27" t="str">
        <f t="shared" si="18"/>
        <v>1</v>
      </c>
      <c r="CA18" s="120" t="str">
        <f t="shared" si="60"/>
        <v>No válido</v>
      </c>
      <c r="CC18" s="129" t="str">
        <f t="shared" si="61"/>
        <v>1</v>
      </c>
      <c r="CD18" s="129" t="str">
        <f t="shared" si="19"/>
        <v>1</v>
      </c>
      <c r="CE18" s="129" t="str">
        <f t="shared" si="20"/>
        <v>0</v>
      </c>
      <c r="CF18" s="120" t="str">
        <f t="shared" si="62"/>
        <v>No válido</v>
      </c>
    </row>
    <row r="19" spans="1:84" x14ac:dyDescent="0.25">
      <c r="A19" s="150" t="s">
        <v>162</v>
      </c>
      <c r="D19" s="120">
        <v>9</v>
      </c>
      <c r="E19" s="24">
        <f>'Cálculos - Distintas Ecuaciones'!F24</f>
        <v>1905.6</v>
      </c>
      <c r="F19" s="39">
        <f>'Cálculos - Distintas Ecuaciones'!Z24+Cunetas!J61+Cunetas!J62</f>
        <v>2.0710426039806999</v>
      </c>
      <c r="G19" s="50" t="str">
        <f t="shared" si="21"/>
        <v>1</v>
      </c>
      <c r="H19" s="120">
        <f t="shared" si="22"/>
        <v>2.4E-2</v>
      </c>
      <c r="I19" s="20">
        <f t="shared" si="23"/>
        <v>0.02</v>
      </c>
      <c r="J19" s="45">
        <v>1.2</v>
      </c>
      <c r="K19" s="67" t="str">
        <f t="shared" si="24"/>
        <v>Circular</v>
      </c>
      <c r="L19" s="45"/>
      <c r="M19" s="45"/>
      <c r="N19" s="5">
        <v>0.79220400907134958</v>
      </c>
      <c r="O19" s="5">
        <f t="shared" si="25"/>
        <v>3.7937694441816587</v>
      </c>
      <c r="P19" s="5">
        <f t="shared" si="26"/>
        <v>1.1367631572089245</v>
      </c>
      <c r="Q19" s="5">
        <f t="shared" si="27"/>
        <v>0.79212371804277859</v>
      </c>
      <c r="R19" s="5">
        <f t="shared" si="28"/>
        <v>2.276261666508995</v>
      </c>
      <c r="S19" s="5">
        <f t="shared" si="29"/>
        <v>0.34799326004449427</v>
      </c>
      <c r="T19" s="117">
        <f t="shared" si="30"/>
        <v>0.99999999571645815</v>
      </c>
      <c r="U19" s="5">
        <f t="shared" si="31"/>
        <v>2.6145443657437024</v>
      </c>
      <c r="V19" s="39">
        <f t="shared" si="32"/>
        <v>1.6086197803866699E-2</v>
      </c>
      <c r="W19" s="46" t="str">
        <f t="shared" si="33"/>
        <v>Aceptable</v>
      </c>
      <c r="X19" s="5">
        <f t="shared" si="34"/>
        <v>0.43722909964354317</v>
      </c>
      <c r="Y19" s="5">
        <f t="shared" si="35"/>
        <v>0.43722910338932142</v>
      </c>
      <c r="Z19" s="5">
        <f t="shared" si="36"/>
        <v>-3.7457782431360442E-9</v>
      </c>
      <c r="AB19" s="120"/>
      <c r="AC19" s="120" t="str">
        <f t="shared" si="37"/>
        <v/>
      </c>
      <c r="AD19" s="120" t="str">
        <f t="shared" si="38"/>
        <v/>
      </c>
      <c r="AE19" s="120" t="str">
        <f t="shared" si="39"/>
        <v/>
      </c>
      <c r="AF19" s="120" t="str">
        <f t="shared" si="40"/>
        <v/>
      </c>
      <c r="AG19" s="120" t="str">
        <f t="shared" si="41"/>
        <v/>
      </c>
      <c r="AH19" s="120" t="str">
        <f t="shared" si="42"/>
        <v/>
      </c>
      <c r="AI19" s="120" t="str">
        <f t="shared" si="43"/>
        <v/>
      </c>
      <c r="AJ19" s="46" t="str">
        <f t="shared" si="44"/>
        <v/>
      </c>
      <c r="AK19" s="120" t="str">
        <f t="shared" si="45"/>
        <v/>
      </c>
      <c r="AL19" s="120" t="str">
        <f t="shared" si="46"/>
        <v/>
      </c>
      <c r="AM19" s="120" t="str">
        <f t="shared" si="47"/>
        <v/>
      </c>
      <c r="AN19" s="211">
        <v>-4</v>
      </c>
      <c r="AP19" s="39">
        <f t="shared" si="0"/>
        <v>0.167433</v>
      </c>
      <c r="AQ19" s="39">
        <f t="shared" si="1"/>
        <v>0.53859500000000005</v>
      </c>
      <c r="AR19" s="39">
        <f t="shared" si="2"/>
        <v>-0.14937</v>
      </c>
      <c r="AS19" s="39">
        <f t="shared" si="3"/>
        <v>3.9154000000000001E-2</v>
      </c>
      <c r="AT19" s="39">
        <f t="shared" si="4"/>
        <v>-3.4399999999999999E-3</v>
      </c>
      <c r="AU19" s="39">
        <f t="shared" si="5"/>
        <v>1.16E-4</v>
      </c>
      <c r="AV19" s="39">
        <f t="shared" si="6"/>
        <v>1.2226863390353546</v>
      </c>
      <c r="AX19" s="157">
        <v>11.45</v>
      </c>
      <c r="AY19" s="120">
        <f t="shared" si="7"/>
        <v>0.22899999999999998</v>
      </c>
      <c r="AZ19" s="39">
        <f t="shared" si="8"/>
        <v>0.34841193886045563</v>
      </c>
      <c r="BA19" s="118">
        <f t="shared" si="9"/>
        <v>0.2</v>
      </c>
      <c r="BB19" s="39">
        <f t="shared" si="48"/>
        <v>6.9682387772091126E-2</v>
      </c>
      <c r="BC19" s="39">
        <f t="shared" si="10"/>
        <v>0.18418696485427374</v>
      </c>
      <c r="BD19" s="39">
        <f t="shared" si="11"/>
        <v>0.60228129148682052</v>
      </c>
      <c r="BE19" s="39">
        <f t="shared" si="12"/>
        <v>0.99610200453567477</v>
      </c>
      <c r="BF19" s="39">
        <f t="shared" si="13"/>
        <v>1.3693832960224954</v>
      </c>
      <c r="BG19" s="39">
        <f t="shared" si="49"/>
        <v>1.3693832960224954</v>
      </c>
      <c r="BH19" s="39">
        <f t="shared" si="50"/>
        <v>0.95031941335207948</v>
      </c>
      <c r="BI19" s="39">
        <f t="shared" si="51"/>
        <v>1.141152746685413</v>
      </c>
      <c r="BK19" s="129" t="str">
        <f t="shared" si="52"/>
        <v>0</v>
      </c>
      <c r="BL19" s="120" t="str">
        <f t="shared" si="53"/>
        <v>1</v>
      </c>
      <c r="BM19" s="120" t="str">
        <f t="shared" si="54"/>
        <v>No válido</v>
      </c>
      <c r="BN19" s="36"/>
      <c r="BO19" s="129" t="str">
        <f t="shared" si="14"/>
        <v>1</v>
      </c>
      <c r="BP19" s="120" t="str">
        <f t="shared" si="55"/>
        <v>0</v>
      </c>
      <c r="BQ19" s="120" t="str">
        <f t="shared" si="15"/>
        <v>0</v>
      </c>
      <c r="BR19" s="120" t="str">
        <f t="shared" si="16"/>
        <v>No válido</v>
      </c>
      <c r="BT19" s="129" t="str">
        <f t="shared" si="56"/>
        <v>0</v>
      </c>
      <c r="BU19" s="120" t="str">
        <f t="shared" si="57"/>
        <v>0</v>
      </c>
      <c r="BV19" s="120" t="str">
        <f t="shared" si="58"/>
        <v>No válido</v>
      </c>
      <c r="BX19" s="129" t="str">
        <f t="shared" si="59"/>
        <v>1</v>
      </c>
      <c r="BY19" s="129" t="str">
        <f t="shared" si="17"/>
        <v>0</v>
      </c>
      <c r="BZ19" s="27" t="str">
        <f t="shared" si="18"/>
        <v>1</v>
      </c>
      <c r="CA19" s="120" t="str">
        <f t="shared" si="60"/>
        <v>No válido</v>
      </c>
      <c r="CC19" s="129" t="str">
        <f t="shared" si="61"/>
        <v>1</v>
      </c>
      <c r="CD19" s="129" t="str">
        <f t="shared" si="19"/>
        <v>1</v>
      </c>
      <c r="CE19" s="129" t="str">
        <f t="shared" si="20"/>
        <v>0</v>
      </c>
      <c r="CF19" s="120" t="str">
        <f t="shared" si="62"/>
        <v>No válido</v>
      </c>
    </row>
    <row r="20" spans="1:84" x14ac:dyDescent="0.25">
      <c r="A20" s="150" t="s">
        <v>80</v>
      </c>
      <c r="D20" s="120">
        <v>10</v>
      </c>
      <c r="E20" s="24">
        <f>'Cálculos - Distintas Ecuaciones'!F25</f>
        <v>2298.4</v>
      </c>
      <c r="F20" s="39">
        <f>'Cálculos - Distintas Ecuaciones'!Z25+Cunetas!J63+Cunetas!J64</f>
        <v>1.3034642973635358</v>
      </c>
      <c r="G20" s="50" t="str">
        <f t="shared" si="21"/>
        <v>1</v>
      </c>
      <c r="H20" s="120">
        <f t="shared" si="22"/>
        <v>2.4E-2</v>
      </c>
      <c r="I20" s="20">
        <f t="shared" si="23"/>
        <v>0.02</v>
      </c>
      <c r="J20" s="45">
        <v>1.2</v>
      </c>
      <c r="K20" s="67" t="str">
        <f t="shared" si="24"/>
        <v>Circular</v>
      </c>
      <c r="L20" s="45"/>
      <c r="M20" s="45"/>
      <c r="N20" s="5">
        <v>0.62226848166141302</v>
      </c>
      <c r="O20" s="5">
        <f t="shared" si="25"/>
        <v>3.2158379774343446</v>
      </c>
      <c r="P20" s="5">
        <f t="shared" si="26"/>
        <v>1.1991732397356027</v>
      </c>
      <c r="Q20" s="5">
        <f t="shared" si="27"/>
        <v>0.59220271958713677</v>
      </c>
      <c r="R20" s="5">
        <f t="shared" si="28"/>
        <v>1.9295027864606067</v>
      </c>
      <c r="S20" s="5">
        <f t="shared" si="29"/>
        <v>0.30691985714798931</v>
      </c>
      <c r="T20" s="117">
        <f t="shared" si="30"/>
        <v>1.0000000101023045</v>
      </c>
      <c r="U20" s="5">
        <f t="shared" si="31"/>
        <v>2.2010440922531829</v>
      </c>
      <c r="V20" s="39">
        <f t="shared" si="32"/>
        <v>1.3478657944790695E-2</v>
      </c>
      <c r="W20" s="46" t="str">
        <f t="shared" si="33"/>
        <v>Aceptable</v>
      </c>
      <c r="X20" s="5">
        <f t="shared" si="34"/>
        <v>0.17319257640177532</v>
      </c>
      <c r="Y20" s="5">
        <f t="shared" si="35"/>
        <v>0.17319257290248707</v>
      </c>
      <c r="Z20" s="5">
        <f t="shared" si="36"/>
        <v>3.4992882480544552E-9</v>
      </c>
      <c r="AB20" s="120"/>
      <c r="AC20" s="120" t="str">
        <f t="shared" si="37"/>
        <v/>
      </c>
      <c r="AD20" s="120" t="str">
        <f t="shared" si="38"/>
        <v/>
      </c>
      <c r="AE20" s="120" t="str">
        <f t="shared" si="39"/>
        <v/>
      </c>
      <c r="AF20" s="120" t="str">
        <f t="shared" si="40"/>
        <v/>
      </c>
      <c r="AG20" s="120" t="str">
        <f t="shared" si="41"/>
        <v/>
      </c>
      <c r="AH20" s="120" t="str">
        <f t="shared" si="42"/>
        <v/>
      </c>
      <c r="AI20" s="120" t="str">
        <f t="shared" si="43"/>
        <v/>
      </c>
      <c r="AJ20" s="46" t="str">
        <f t="shared" si="44"/>
        <v/>
      </c>
      <c r="AK20" s="120" t="str">
        <f t="shared" si="45"/>
        <v/>
      </c>
      <c r="AL20" s="120" t="str">
        <f t="shared" si="46"/>
        <v/>
      </c>
      <c r="AM20" s="120" t="str">
        <f t="shared" si="47"/>
        <v/>
      </c>
      <c r="AN20" s="211">
        <v>34</v>
      </c>
      <c r="AP20" s="39">
        <f t="shared" si="0"/>
        <v>0.167433</v>
      </c>
      <c r="AQ20" s="39">
        <f t="shared" si="1"/>
        <v>0.53859500000000005</v>
      </c>
      <c r="AR20" s="39">
        <f t="shared" si="2"/>
        <v>-0.14937</v>
      </c>
      <c r="AS20" s="39">
        <f t="shared" si="3"/>
        <v>3.9154000000000001E-2</v>
      </c>
      <c r="AT20" s="39">
        <f t="shared" si="4"/>
        <v>-3.4399999999999999E-3</v>
      </c>
      <c r="AU20" s="39">
        <f t="shared" si="5"/>
        <v>1.16E-4</v>
      </c>
      <c r="AV20" s="39">
        <f t="shared" si="6"/>
        <v>0.8925963856694471</v>
      </c>
      <c r="AX20" s="157">
        <v>11.25</v>
      </c>
      <c r="AY20" s="120">
        <f t="shared" si="7"/>
        <v>0.22500000000000001</v>
      </c>
      <c r="AZ20" s="39">
        <f t="shared" si="8"/>
        <v>0.24692125871776949</v>
      </c>
      <c r="BA20" s="118">
        <f t="shared" si="9"/>
        <v>0.2</v>
      </c>
      <c r="BB20" s="39">
        <f t="shared" si="48"/>
        <v>4.9384251743553903E-2</v>
      </c>
      <c r="BC20" s="39">
        <f t="shared" si="10"/>
        <v>0.15163490187889533</v>
      </c>
      <c r="BD20" s="39">
        <f t="shared" si="11"/>
        <v>0.4479404123402187</v>
      </c>
      <c r="BE20" s="39">
        <f t="shared" si="12"/>
        <v>0.91113424083070649</v>
      </c>
      <c r="BF20" s="39">
        <f t="shared" si="13"/>
        <v>1.1340746531709252</v>
      </c>
      <c r="BG20" s="39">
        <f t="shared" si="49"/>
        <v>1.1340746531709252</v>
      </c>
      <c r="BH20" s="39">
        <f t="shared" si="50"/>
        <v>0.75756221097577103</v>
      </c>
      <c r="BI20" s="39">
        <f t="shared" si="51"/>
        <v>0.94506221097577103</v>
      </c>
      <c r="BK20" s="129" t="str">
        <f t="shared" si="52"/>
        <v>0</v>
      </c>
      <c r="BL20" s="120" t="str">
        <f t="shared" si="53"/>
        <v>0</v>
      </c>
      <c r="BM20" s="120" t="str">
        <f t="shared" si="54"/>
        <v>No válido</v>
      </c>
      <c r="BN20" s="36"/>
      <c r="BO20" s="129" t="str">
        <f t="shared" si="14"/>
        <v>1</v>
      </c>
      <c r="BP20" s="120" t="str">
        <f t="shared" si="55"/>
        <v>0</v>
      </c>
      <c r="BQ20" s="120" t="str">
        <f t="shared" si="15"/>
        <v>0</v>
      </c>
      <c r="BR20" s="120" t="str">
        <f t="shared" si="16"/>
        <v>No válido</v>
      </c>
      <c r="BT20" s="129" t="str">
        <f t="shared" si="56"/>
        <v>0</v>
      </c>
      <c r="BU20" s="120" t="str">
        <f t="shared" si="57"/>
        <v>1</v>
      </c>
      <c r="BV20" s="120" t="str">
        <f t="shared" si="58"/>
        <v>No válido</v>
      </c>
      <c r="BX20" s="129" t="str">
        <f t="shared" si="59"/>
        <v>1</v>
      </c>
      <c r="BY20" s="129" t="str">
        <f t="shared" si="17"/>
        <v>0</v>
      </c>
      <c r="BZ20" s="27" t="str">
        <f t="shared" si="18"/>
        <v>1</v>
      </c>
      <c r="CA20" s="120" t="str">
        <f t="shared" si="60"/>
        <v>No válido</v>
      </c>
      <c r="CC20" s="129" t="str">
        <f t="shared" si="61"/>
        <v>1</v>
      </c>
      <c r="CD20" s="129" t="str">
        <f t="shared" si="19"/>
        <v>1</v>
      </c>
      <c r="CE20" s="129" t="str">
        <f t="shared" si="20"/>
        <v>0</v>
      </c>
      <c r="CF20" s="120" t="str">
        <f t="shared" si="62"/>
        <v>No válido</v>
      </c>
    </row>
    <row r="21" spans="1:84" x14ac:dyDescent="0.25">
      <c r="A21" s="150" t="s">
        <v>80</v>
      </c>
      <c r="D21" s="120">
        <v>11</v>
      </c>
      <c r="E21" s="24">
        <f>'Cálculos - Distintas Ecuaciones'!F26</f>
        <v>2815</v>
      </c>
      <c r="F21" s="39">
        <f>'Cálculos - Distintas Ecuaciones'!Z26+Cunetas!J65+Cunetas!J66</f>
        <v>0.65143532879018751</v>
      </c>
      <c r="G21" s="50" t="str">
        <f t="shared" si="21"/>
        <v>1</v>
      </c>
      <c r="H21" s="120">
        <f t="shared" si="22"/>
        <v>2.4E-2</v>
      </c>
      <c r="I21" s="20">
        <f t="shared" si="23"/>
        <v>0.02</v>
      </c>
      <c r="J21" s="45">
        <v>1.2</v>
      </c>
      <c r="K21" s="67" t="str">
        <f t="shared" si="24"/>
        <v>Circular</v>
      </c>
      <c r="L21" s="45"/>
      <c r="M21" s="45"/>
      <c r="N21" s="5">
        <v>0.43332252671439803</v>
      </c>
      <c r="O21" s="5">
        <f t="shared" si="25"/>
        <v>2.5785950092518894</v>
      </c>
      <c r="P21" s="5">
        <f t="shared" si="26"/>
        <v>1.1527681812040569</v>
      </c>
      <c r="Q21" s="5">
        <f t="shared" si="27"/>
        <v>0.36807685780177446</v>
      </c>
      <c r="R21" s="5">
        <f t="shared" si="28"/>
        <v>1.5471570055511337</v>
      </c>
      <c r="S21" s="5">
        <f t="shared" si="29"/>
        <v>0.23790530403904084</v>
      </c>
      <c r="T21" s="117">
        <f t="shared" si="30"/>
        <v>1.0000000576215291</v>
      </c>
      <c r="U21" s="5">
        <f t="shared" si="31"/>
        <v>1.7698350629286614</v>
      </c>
      <c r="V21" s="39">
        <f t="shared" si="32"/>
        <v>1.2239093152972936E-2</v>
      </c>
      <c r="W21" s="46" t="str">
        <f t="shared" si="33"/>
        <v>Aceptable</v>
      </c>
      <c r="X21" s="5">
        <f t="shared" si="34"/>
        <v>4.3258714331904147E-2</v>
      </c>
      <c r="Y21" s="5">
        <f t="shared" si="35"/>
        <v>4.3258709346638037E-2</v>
      </c>
      <c r="Z21" s="5">
        <f t="shared" si="36"/>
        <v>4.9852661096472239E-9</v>
      </c>
      <c r="AB21" s="120"/>
      <c r="AC21" s="120" t="str">
        <f t="shared" si="37"/>
        <v/>
      </c>
      <c r="AD21" s="120" t="str">
        <f t="shared" si="38"/>
        <v/>
      </c>
      <c r="AE21" s="120" t="str">
        <f t="shared" si="39"/>
        <v/>
      </c>
      <c r="AF21" s="120" t="str">
        <f t="shared" si="40"/>
        <v/>
      </c>
      <c r="AG21" s="120" t="str">
        <f t="shared" si="41"/>
        <v/>
      </c>
      <c r="AH21" s="120" t="str">
        <f t="shared" si="42"/>
        <v/>
      </c>
      <c r="AI21" s="120" t="str">
        <f t="shared" si="43"/>
        <v/>
      </c>
      <c r="AJ21" s="46" t="str">
        <f t="shared" si="44"/>
        <v/>
      </c>
      <c r="AK21" s="120" t="str">
        <f t="shared" si="45"/>
        <v/>
      </c>
      <c r="AL21" s="120" t="str">
        <f t="shared" si="46"/>
        <v/>
      </c>
      <c r="AM21" s="120" t="str">
        <f t="shared" si="47"/>
        <v/>
      </c>
      <c r="AN21" s="211">
        <v>-6</v>
      </c>
      <c r="AP21" s="39">
        <f t="shared" si="0"/>
        <v>0.167433</v>
      </c>
      <c r="AQ21" s="39">
        <f t="shared" si="1"/>
        <v>0.53859500000000005</v>
      </c>
      <c r="AR21" s="39">
        <f t="shared" si="2"/>
        <v>-0.14937</v>
      </c>
      <c r="AS21" s="39">
        <f t="shared" si="3"/>
        <v>3.9154000000000001E-2</v>
      </c>
      <c r="AT21" s="39">
        <f t="shared" si="4"/>
        <v>-3.4399999999999999E-3</v>
      </c>
      <c r="AU21" s="39">
        <f t="shared" si="5"/>
        <v>1.16E-4</v>
      </c>
      <c r="AV21" s="39">
        <f t="shared" si="6"/>
        <v>0.59048571301194031</v>
      </c>
      <c r="AX21" s="157">
        <v>9.85</v>
      </c>
      <c r="AY21" s="120">
        <f t="shared" si="7"/>
        <v>0.19700000000000001</v>
      </c>
      <c r="AZ21" s="39">
        <f t="shared" si="8"/>
        <v>0.15964914118102441</v>
      </c>
      <c r="BA21" s="118">
        <f t="shared" si="9"/>
        <v>0.2</v>
      </c>
      <c r="BB21" s="39">
        <f t="shared" si="48"/>
        <v>3.1929828236204882E-2</v>
      </c>
      <c r="BC21" s="39">
        <f t="shared" si="10"/>
        <v>0.1205550675567834</v>
      </c>
      <c r="BD21" s="39">
        <f t="shared" si="11"/>
        <v>0.31213403697401271</v>
      </c>
      <c r="BE21" s="39">
        <f t="shared" si="12"/>
        <v>0.81666126335719902</v>
      </c>
      <c r="BF21" s="39">
        <f t="shared" si="13"/>
        <v>0.93179530033121161</v>
      </c>
      <c r="BG21" s="39">
        <f t="shared" si="49"/>
        <v>0.93179530033121161</v>
      </c>
      <c r="BH21" s="39">
        <f t="shared" si="50"/>
        <v>0.61232941694267629</v>
      </c>
      <c r="BI21" s="39">
        <f t="shared" si="51"/>
        <v>0.77649608360934308</v>
      </c>
      <c r="BK21" s="129" t="str">
        <f t="shared" si="52"/>
        <v>0</v>
      </c>
      <c r="BL21" s="120" t="str">
        <f t="shared" si="53"/>
        <v>0</v>
      </c>
      <c r="BM21" s="120" t="str">
        <f t="shared" si="54"/>
        <v>No válido</v>
      </c>
      <c r="BN21" s="36"/>
      <c r="BO21" s="129" t="str">
        <f t="shared" si="14"/>
        <v>1</v>
      </c>
      <c r="BP21" s="120" t="str">
        <f t="shared" si="55"/>
        <v>0</v>
      </c>
      <c r="BQ21" s="120" t="str">
        <f t="shared" si="15"/>
        <v>0</v>
      </c>
      <c r="BR21" s="120" t="str">
        <f t="shared" si="16"/>
        <v>No válido</v>
      </c>
      <c r="BT21" s="129" t="str">
        <f t="shared" si="56"/>
        <v>0</v>
      </c>
      <c r="BU21" s="120" t="str">
        <f t="shared" si="57"/>
        <v>1</v>
      </c>
      <c r="BV21" s="120" t="str">
        <f t="shared" si="58"/>
        <v>No válido</v>
      </c>
      <c r="BX21" s="129" t="str">
        <f t="shared" si="59"/>
        <v>1</v>
      </c>
      <c r="BY21" s="129" t="str">
        <f t="shared" si="17"/>
        <v>0</v>
      </c>
      <c r="BZ21" s="27" t="str">
        <f t="shared" si="18"/>
        <v>1</v>
      </c>
      <c r="CA21" s="120" t="str">
        <f t="shared" si="60"/>
        <v>No válido</v>
      </c>
      <c r="CC21" s="129" t="str">
        <f t="shared" si="61"/>
        <v>1</v>
      </c>
      <c r="CD21" s="129" t="str">
        <f t="shared" si="19"/>
        <v>1</v>
      </c>
      <c r="CE21" s="129" t="str">
        <f t="shared" si="20"/>
        <v>0</v>
      </c>
      <c r="CF21" s="120" t="str">
        <f t="shared" si="62"/>
        <v>No válido</v>
      </c>
    </row>
    <row r="22" spans="1:84" x14ac:dyDescent="0.25">
      <c r="A22" s="150" t="s">
        <v>162</v>
      </c>
      <c r="D22" s="120">
        <v>12</v>
      </c>
      <c r="E22" s="24">
        <f>'Cálculos - Distintas Ecuaciones'!F27</f>
        <v>2992.8</v>
      </c>
      <c r="F22" s="39">
        <f>'Cálculos - Distintas Ecuaciones'!Z27+Cunetas!J67</f>
        <v>0.84184322224796759</v>
      </c>
      <c r="G22" s="50" t="str">
        <f t="shared" si="21"/>
        <v>1</v>
      </c>
      <c r="H22" s="120">
        <f t="shared" si="22"/>
        <v>2.4E-2</v>
      </c>
      <c r="I22" s="20">
        <f t="shared" si="23"/>
        <v>0.02</v>
      </c>
      <c r="J22" s="45">
        <v>1.2</v>
      </c>
      <c r="K22" s="67" t="str">
        <f t="shared" si="24"/>
        <v>Circular</v>
      </c>
      <c r="L22" s="45"/>
      <c r="M22" s="45"/>
      <c r="N22" s="5">
        <v>0.49513944521309394</v>
      </c>
      <c r="O22" s="5">
        <f t="shared" si="25"/>
        <v>2.7902532100239283</v>
      </c>
      <c r="P22" s="5">
        <f t="shared" si="26"/>
        <v>1.1815316568755698</v>
      </c>
      <c r="Q22" s="5">
        <f t="shared" si="27"/>
        <v>0.44029754528517484</v>
      </c>
      <c r="R22" s="5">
        <f t="shared" si="28"/>
        <v>1.6741519260143569</v>
      </c>
      <c r="S22" s="5">
        <f t="shared" si="29"/>
        <v>0.2629973650798757</v>
      </c>
      <c r="T22" s="117">
        <f t="shared" si="30"/>
        <v>1.0000000018210757</v>
      </c>
      <c r="U22" s="5">
        <f t="shared" si="31"/>
        <v>1.9119870897820177</v>
      </c>
      <c r="V22" s="39">
        <f t="shared" si="32"/>
        <v>1.249656150996387E-2</v>
      </c>
      <c r="W22" s="46" t="str">
        <f t="shared" si="33"/>
        <v>Aceptable</v>
      </c>
      <c r="X22" s="5">
        <f t="shared" si="34"/>
        <v>7.224261068754749E-2</v>
      </c>
      <c r="Y22" s="5">
        <f t="shared" si="35"/>
        <v>7.2242610424428963E-2</v>
      </c>
      <c r="Z22" s="5">
        <f t="shared" si="36"/>
        <v>2.6311852696636606E-10</v>
      </c>
      <c r="AB22" s="120"/>
      <c r="AC22" s="120" t="str">
        <f t="shared" si="37"/>
        <v/>
      </c>
      <c r="AD22" s="120" t="str">
        <f t="shared" si="38"/>
        <v/>
      </c>
      <c r="AE22" s="120" t="str">
        <f t="shared" si="39"/>
        <v/>
      </c>
      <c r="AF22" s="120" t="str">
        <f t="shared" si="40"/>
        <v/>
      </c>
      <c r="AG22" s="120" t="str">
        <f t="shared" si="41"/>
        <v/>
      </c>
      <c r="AH22" s="120" t="str">
        <f t="shared" si="42"/>
        <v/>
      </c>
      <c r="AI22" s="120" t="str">
        <f t="shared" si="43"/>
        <v/>
      </c>
      <c r="AJ22" s="46" t="str">
        <f t="shared" si="44"/>
        <v/>
      </c>
      <c r="AK22" s="120" t="str">
        <f t="shared" si="45"/>
        <v/>
      </c>
      <c r="AL22" s="120" t="str">
        <f t="shared" si="46"/>
        <v/>
      </c>
      <c r="AM22" s="120" t="str">
        <f t="shared" si="47"/>
        <v/>
      </c>
      <c r="AN22" s="211">
        <v>41</v>
      </c>
      <c r="AP22" s="39">
        <f t="shared" si="0"/>
        <v>0.167433</v>
      </c>
      <c r="AQ22" s="39">
        <f t="shared" si="1"/>
        <v>0.53859500000000005</v>
      </c>
      <c r="AR22" s="39">
        <f t="shared" si="2"/>
        <v>-0.14937</v>
      </c>
      <c r="AS22" s="39">
        <f t="shared" si="3"/>
        <v>3.9154000000000001E-2</v>
      </c>
      <c r="AT22" s="39">
        <f t="shared" si="4"/>
        <v>-3.4399999999999999E-3</v>
      </c>
      <c r="AU22" s="39">
        <f t="shared" si="5"/>
        <v>1.16E-4</v>
      </c>
      <c r="AV22" s="39">
        <f t="shared" si="6"/>
        <v>0.68514473544486332</v>
      </c>
      <c r="AX22" s="157">
        <v>11.25</v>
      </c>
      <c r="AY22" s="120">
        <f t="shared" si="7"/>
        <v>0.22500000000000001</v>
      </c>
      <c r="AZ22" s="39">
        <f t="shared" si="8"/>
        <v>0.18632490476519414</v>
      </c>
      <c r="BA22" s="118">
        <f t="shared" si="9"/>
        <v>0.2</v>
      </c>
      <c r="BB22" s="39">
        <f t="shared" si="48"/>
        <v>3.7264980953038832E-2</v>
      </c>
      <c r="BC22" s="39">
        <f t="shared" si="10"/>
        <v>0.14058631698709353</v>
      </c>
      <c r="BD22" s="39">
        <f t="shared" si="11"/>
        <v>0.36417620270532647</v>
      </c>
      <c r="BE22" s="39">
        <f t="shared" si="12"/>
        <v>0.84756972260654695</v>
      </c>
      <c r="BF22" s="39">
        <f t="shared" si="13"/>
        <v>0.98674592531187344</v>
      </c>
      <c r="BG22" s="39">
        <f t="shared" si="49"/>
        <v>0.98674592531187344</v>
      </c>
      <c r="BH22" s="39">
        <f t="shared" si="50"/>
        <v>0.63478827109322788</v>
      </c>
      <c r="BI22" s="39">
        <f t="shared" si="51"/>
        <v>0.82228827109322788</v>
      </c>
      <c r="BK22" s="129" t="str">
        <f t="shared" si="52"/>
        <v>0</v>
      </c>
      <c r="BL22" s="120" t="str">
        <f t="shared" si="53"/>
        <v>0</v>
      </c>
      <c r="BM22" s="120" t="str">
        <f t="shared" si="54"/>
        <v>No válido</v>
      </c>
      <c r="BN22" s="36"/>
      <c r="BO22" s="129" t="str">
        <f t="shared" si="14"/>
        <v>1</v>
      </c>
      <c r="BP22" s="120" t="str">
        <f t="shared" si="55"/>
        <v>0</v>
      </c>
      <c r="BQ22" s="120" t="str">
        <f t="shared" si="15"/>
        <v>0</v>
      </c>
      <c r="BR22" s="120" t="str">
        <f t="shared" si="16"/>
        <v>No válido</v>
      </c>
      <c r="BT22" s="129" t="str">
        <f t="shared" si="56"/>
        <v>0</v>
      </c>
      <c r="BU22" s="120" t="str">
        <f t="shared" si="57"/>
        <v>1</v>
      </c>
      <c r="BV22" s="120" t="str">
        <f t="shared" si="58"/>
        <v>No válido</v>
      </c>
      <c r="BX22" s="129" t="str">
        <f t="shared" si="59"/>
        <v>1</v>
      </c>
      <c r="BY22" s="129" t="str">
        <f t="shared" si="17"/>
        <v>0</v>
      </c>
      <c r="BZ22" s="27" t="str">
        <f t="shared" si="18"/>
        <v>1</v>
      </c>
      <c r="CA22" s="120" t="str">
        <f t="shared" si="60"/>
        <v>No válido</v>
      </c>
      <c r="CC22" s="129" t="str">
        <f t="shared" si="61"/>
        <v>1</v>
      </c>
      <c r="CD22" s="129" t="str">
        <f t="shared" si="19"/>
        <v>1</v>
      </c>
      <c r="CE22" s="129" t="str">
        <f t="shared" si="20"/>
        <v>0</v>
      </c>
      <c r="CF22" s="120" t="str">
        <f t="shared" si="62"/>
        <v>No válido</v>
      </c>
    </row>
    <row r="23" spans="1:84" x14ac:dyDescent="0.25">
      <c r="A23" s="150" t="s">
        <v>80</v>
      </c>
      <c r="D23" s="120">
        <v>13</v>
      </c>
      <c r="E23" s="24">
        <f>'Cálculos - Distintas Ecuaciones'!F28</f>
        <v>3281.5</v>
      </c>
      <c r="F23" s="39">
        <f>'Cálculos - Distintas Ecuaciones'!Z28+Cunetas!J68+Cunetas!J69</f>
        <v>0.2103646904856793</v>
      </c>
      <c r="G23" s="50" t="str">
        <f t="shared" si="21"/>
        <v>1</v>
      </c>
      <c r="H23" s="120">
        <f t="shared" si="22"/>
        <v>2.4E-2</v>
      </c>
      <c r="I23" s="20">
        <f t="shared" si="23"/>
        <v>0.02</v>
      </c>
      <c r="J23" s="45">
        <v>1.2</v>
      </c>
      <c r="K23" s="67" t="str">
        <f t="shared" si="24"/>
        <v>Circular</v>
      </c>
      <c r="L23" s="45"/>
      <c r="M23" s="45"/>
      <c r="N23" s="5">
        <v>0.24224764950864253</v>
      </c>
      <c r="O23" s="5">
        <f t="shared" si="25"/>
        <v>1.863939288668695</v>
      </c>
      <c r="P23" s="5">
        <f t="shared" si="26"/>
        <v>0.96335508659664826</v>
      </c>
      <c r="Q23" s="5">
        <f t="shared" si="27"/>
        <v>0.16318779866648703</v>
      </c>
      <c r="R23" s="5">
        <f t="shared" si="28"/>
        <v>1.1183635732012169</v>
      </c>
      <c r="S23" s="5">
        <f t="shared" si="29"/>
        <v>0.145916589718115</v>
      </c>
      <c r="T23" s="117">
        <f t="shared" si="30"/>
        <v>1.0000000308255008</v>
      </c>
      <c r="U23" s="5">
        <f t="shared" si="31"/>
        <v>1.2890957057127135</v>
      </c>
      <c r="V23" s="39">
        <f t="shared" si="32"/>
        <v>1.2460053643650276E-2</v>
      </c>
      <c r="W23" s="46" t="str">
        <f t="shared" si="33"/>
        <v>Aceptable</v>
      </c>
      <c r="X23" s="5">
        <f t="shared" si="34"/>
        <v>4.5110400614817173E-3</v>
      </c>
      <c r="Y23" s="5">
        <f t="shared" si="35"/>
        <v>4.5110397833715921E-3</v>
      </c>
      <c r="Z23" s="5">
        <f t="shared" si="36"/>
        <v>2.78110125206954E-10</v>
      </c>
      <c r="AB23" s="120"/>
      <c r="AC23" s="120" t="str">
        <f t="shared" si="37"/>
        <v/>
      </c>
      <c r="AD23" s="120" t="str">
        <f t="shared" si="38"/>
        <v/>
      </c>
      <c r="AE23" s="120" t="str">
        <f t="shared" si="39"/>
        <v/>
      </c>
      <c r="AF23" s="120" t="str">
        <f t="shared" si="40"/>
        <v/>
      </c>
      <c r="AG23" s="120" t="str">
        <f t="shared" si="41"/>
        <v/>
      </c>
      <c r="AH23" s="120" t="str">
        <f t="shared" si="42"/>
        <v/>
      </c>
      <c r="AI23" s="120" t="str">
        <f t="shared" si="43"/>
        <v/>
      </c>
      <c r="AJ23" s="46" t="str">
        <f t="shared" si="44"/>
        <v/>
      </c>
      <c r="AK23" s="120" t="str">
        <f t="shared" si="45"/>
        <v/>
      </c>
      <c r="AL23" s="120" t="str">
        <f t="shared" si="46"/>
        <v/>
      </c>
      <c r="AM23" s="120" t="str">
        <f t="shared" si="47"/>
        <v/>
      </c>
      <c r="AN23" s="211">
        <v>0</v>
      </c>
      <c r="AP23" s="39">
        <f t="shared" si="0"/>
        <v>0.167433</v>
      </c>
      <c r="AQ23" s="39">
        <f t="shared" si="1"/>
        <v>0.53859500000000005</v>
      </c>
      <c r="AR23" s="39">
        <f t="shared" si="2"/>
        <v>-0.14937</v>
      </c>
      <c r="AS23" s="39">
        <f t="shared" si="3"/>
        <v>3.9154000000000001E-2</v>
      </c>
      <c r="AT23" s="39">
        <f t="shared" si="4"/>
        <v>-3.4399999999999999E-3</v>
      </c>
      <c r="AU23" s="39">
        <f t="shared" si="5"/>
        <v>1.16E-4</v>
      </c>
      <c r="AV23" s="39">
        <f t="shared" si="6"/>
        <v>0.33522839365108564</v>
      </c>
      <c r="AX23" s="157">
        <v>9.4499999999999993</v>
      </c>
      <c r="AY23" s="120">
        <f t="shared" si="7"/>
        <v>0.189</v>
      </c>
      <c r="AZ23" s="39">
        <f t="shared" si="8"/>
        <v>8.4697642124717559E-2</v>
      </c>
      <c r="BA23" s="118">
        <f t="shared" si="9"/>
        <v>0.2</v>
      </c>
      <c r="BB23" s="39">
        <f t="shared" si="48"/>
        <v>1.6939528424943513E-2</v>
      </c>
      <c r="BC23" s="39">
        <f t="shared" si="10"/>
        <v>0.11774750693249512</v>
      </c>
      <c r="BD23" s="39">
        <f t="shared" si="11"/>
        <v>0.21938467748215618</v>
      </c>
      <c r="BE23" s="39">
        <f t="shared" si="12"/>
        <v>0.72112382475432124</v>
      </c>
      <c r="BF23" s="39">
        <f t="shared" si="13"/>
        <v>0.75150850223647736</v>
      </c>
      <c r="BG23" s="39">
        <f t="shared" si="49"/>
        <v>0.75150850223647736</v>
      </c>
      <c r="BH23" s="39">
        <f t="shared" si="50"/>
        <v>0.46875708519706444</v>
      </c>
      <c r="BI23" s="39">
        <f t="shared" si="51"/>
        <v>0.62625708519706447</v>
      </c>
      <c r="BK23" s="129" t="str">
        <f t="shared" si="52"/>
        <v>0</v>
      </c>
      <c r="BL23" s="120" t="str">
        <f t="shared" si="53"/>
        <v>0</v>
      </c>
      <c r="BM23" s="120" t="str">
        <f t="shared" si="54"/>
        <v>No válido</v>
      </c>
      <c r="BN23" s="36"/>
      <c r="BO23" s="129" t="str">
        <f t="shared" si="14"/>
        <v>1</v>
      </c>
      <c r="BP23" s="120" t="str">
        <f t="shared" si="55"/>
        <v>0</v>
      </c>
      <c r="BQ23" s="120" t="str">
        <f t="shared" si="15"/>
        <v>0</v>
      </c>
      <c r="BR23" s="120" t="str">
        <f t="shared" si="16"/>
        <v>No válido</v>
      </c>
      <c r="BT23" s="129" t="str">
        <f t="shared" si="56"/>
        <v>0</v>
      </c>
      <c r="BU23" s="120" t="str">
        <f t="shared" si="57"/>
        <v>1</v>
      </c>
      <c r="BV23" s="120" t="str">
        <f t="shared" si="58"/>
        <v>No válido</v>
      </c>
      <c r="BX23" s="129" t="str">
        <f t="shared" si="59"/>
        <v>1</v>
      </c>
      <c r="BY23" s="129" t="str">
        <f t="shared" si="17"/>
        <v>0</v>
      </c>
      <c r="BZ23" s="27" t="str">
        <f t="shared" si="18"/>
        <v>1</v>
      </c>
      <c r="CA23" s="120" t="str">
        <f t="shared" si="60"/>
        <v>No válido</v>
      </c>
      <c r="CC23" s="129" t="str">
        <f t="shared" si="61"/>
        <v>1</v>
      </c>
      <c r="CD23" s="129" t="str">
        <f t="shared" si="19"/>
        <v>1</v>
      </c>
      <c r="CE23" s="129" t="str">
        <f t="shared" si="20"/>
        <v>0</v>
      </c>
      <c r="CF23" s="120" t="str">
        <f t="shared" si="62"/>
        <v>No válido</v>
      </c>
    </row>
    <row r="24" spans="1:84" x14ac:dyDescent="0.25">
      <c r="A24" s="150" t="s">
        <v>80</v>
      </c>
      <c r="D24" s="120">
        <v>14</v>
      </c>
      <c r="E24" s="24">
        <f>'Cálculos - Distintas Ecuaciones'!F29</f>
        <v>3590</v>
      </c>
      <c r="F24" s="39">
        <f>'Cálculos - Distintas Ecuaciones'!Z29+Cunetas!J70+Cunetas!J71</f>
        <v>0.13042092408797296</v>
      </c>
      <c r="G24" s="50" t="str">
        <f t="shared" si="21"/>
        <v>1</v>
      </c>
      <c r="H24" s="120">
        <f t="shared" si="22"/>
        <v>2.4E-2</v>
      </c>
      <c r="I24" s="20">
        <f t="shared" si="23"/>
        <v>0.02</v>
      </c>
      <c r="J24" s="45">
        <v>1.2</v>
      </c>
      <c r="K24" s="67" t="str">
        <f t="shared" si="24"/>
        <v>Circular</v>
      </c>
      <c r="L24" s="45"/>
      <c r="M24" s="45"/>
      <c r="N24" s="5">
        <v>0.18988668217557941</v>
      </c>
      <c r="O24" s="5">
        <f t="shared" si="25"/>
        <v>1.636438271145767</v>
      </c>
      <c r="P24" s="5">
        <f t="shared" si="26"/>
        <v>0.87591567298010076</v>
      </c>
      <c r="Q24" s="5">
        <f t="shared" si="27"/>
        <v>0.11494654741609836</v>
      </c>
      <c r="R24" s="5">
        <f t="shared" si="28"/>
        <v>0.98186296268746021</v>
      </c>
      <c r="S24" s="5">
        <f t="shared" si="29"/>
        <v>0.11706984761038119</v>
      </c>
      <c r="T24" s="117">
        <f t="shared" si="30"/>
        <v>1.0000000490737775</v>
      </c>
      <c r="U24" s="5">
        <f t="shared" si="31"/>
        <v>1.1346223703079872</v>
      </c>
      <c r="V24" s="39">
        <f t="shared" si="32"/>
        <v>1.2947872967030949E-2</v>
      </c>
      <c r="W24" s="46" t="str">
        <f t="shared" si="33"/>
        <v>Aceptable</v>
      </c>
      <c r="X24" s="5">
        <f t="shared" si="34"/>
        <v>1.7339059571825489E-3</v>
      </c>
      <c r="Y24" s="5">
        <f t="shared" si="35"/>
        <v>1.733905787003931E-3</v>
      </c>
      <c r="Z24" s="5">
        <f t="shared" si="36"/>
        <v>1.7017861794234312E-10</v>
      </c>
      <c r="AB24" s="120"/>
      <c r="AC24" s="120" t="str">
        <f t="shared" si="37"/>
        <v/>
      </c>
      <c r="AD24" s="120" t="str">
        <f t="shared" si="38"/>
        <v/>
      </c>
      <c r="AE24" s="120" t="str">
        <f t="shared" si="39"/>
        <v/>
      </c>
      <c r="AF24" s="120" t="str">
        <f t="shared" si="40"/>
        <v/>
      </c>
      <c r="AG24" s="120" t="str">
        <f t="shared" si="41"/>
        <v/>
      </c>
      <c r="AH24" s="120" t="str">
        <f t="shared" si="42"/>
        <v/>
      </c>
      <c r="AI24" s="120" t="str">
        <f t="shared" si="43"/>
        <v/>
      </c>
      <c r="AJ24" s="46" t="str">
        <f t="shared" si="44"/>
        <v/>
      </c>
      <c r="AK24" s="120" t="str">
        <f t="shared" si="45"/>
        <v/>
      </c>
      <c r="AL24" s="120" t="str">
        <f t="shared" si="46"/>
        <v/>
      </c>
      <c r="AM24" s="120" t="str">
        <f t="shared" si="47"/>
        <v/>
      </c>
      <c r="AN24" s="211">
        <v>19</v>
      </c>
      <c r="AP24" s="39">
        <f t="shared" si="0"/>
        <v>0.167433</v>
      </c>
      <c r="AQ24" s="39">
        <f t="shared" si="1"/>
        <v>0.53859500000000005</v>
      </c>
      <c r="AR24" s="39">
        <f t="shared" si="2"/>
        <v>-0.14937</v>
      </c>
      <c r="AS24" s="39">
        <f t="shared" si="3"/>
        <v>3.9154000000000001E-2</v>
      </c>
      <c r="AT24" s="39">
        <f t="shared" si="4"/>
        <v>-3.4399999999999999E-3</v>
      </c>
      <c r="AU24" s="39">
        <f t="shared" si="5"/>
        <v>1.16E-4</v>
      </c>
      <c r="AV24" s="39">
        <f t="shared" si="6"/>
        <v>0.28184535702551072</v>
      </c>
      <c r="AX24" s="157">
        <v>12.5</v>
      </c>
      <c r="AY24" s="120">
        <f t="shared" si="7"/>
        <v>0.25</v>
      </c>
      <c r="AZ24" s="39">
        <f t="shared" si="8"/>
        <v>6.5615082732075183E-2</v>
      </c>
      <c r="BA24" s="118">
        <f t="shared" si="9"/>
        <v>0.2</v>
      </c>
      <c r="BB24" s="39">
        <f t="shared" si="48"/>
        <v>1.3123016546415038E-2</v>
      </c>
      <c r="BC24" s="39">
        <f t="shared" si="10"/>
        <v>0.16184841208788689</v>
      </c>
      <c r="BD24" s="39">
        <f t="shared" si="11"/>
        <v>0.2405865113663771</v>
      </c>
      <c r="BE24" s="39">
        <f t="shared" si="12"/>
        <v>0.69494334108778966</v>
      </c>
      <c r="BF24" s="39">
        <f t="shared" si="13"/>
        <v>0.68552985245416675</v>
      </c>
      <c r="BG24" s="39">
        <f t="shared" si="49"/>
        <v>0.68552985245416675</v>
      </c>
      <c r="BH24" s="39">
        <f t="shared" si="50"/>
        <v>0.36294154371180565</v>
      </c>
      <c r="BI24" s="39">
        <f t="shared" si="51"/>
        <v>0.57127487704513902</v>
      </c>
      <c r="BK24" s="129" t="str">
        <f t="shared" si="52"/>
        <v>0</v>
      </c>
      <c r="BL24" s="120" t="str">
        <f t="shared" si="53"/>
        <v>0</v>
      </c>
      <c r="BM24" s="120" t="str">
        <f t="shared" si="54"/>
        <v>No válido</v>
      </c>
      <c r="BN24" s="36"/>
      <c r="BO24" s="129" t="str">
        <f t="shared" si="14"/>
        <v>1</v>
      </c>
      <c r="BP24" s="120" t="str">
        <f t="shared" si="55"/>
        <v>0</v>
      </c>
      <c r="BQ24" s="120" t="str">
        <f t="shared" si="15"/>
        <v>0</v>
      </c>
      <c r="BR24" s="120" t="str">
        <f t="shared" si="16"/>
        <v>No válido</v>
      </c>
      <c r="BT24" s="129" t="str">
        <f t="shared" si="56"/>
        <v>0</v>
      </c>
      <c r="BU24" s="120" t="str">
        <f t="shared" si="57"/>
        <v>1</v>
      </c>
      <c r="BV24" s="120" t="str">
        <f t="shared" si="58"/>
        <v>No válido</v>
      </c>
      <c r="BX24" s="129" t="str">
        <f t="shared" si="59"/>
        <v>1</v>
      </c>
      <c r="BY24" s="129" t="str">
        <f t="shared" si="17"/>
        <v>0</v>
      </c>
      <c r="BZ24" s="27" t="str">
        <f t="shared" si="18"/>
        <v>1</v>
      </c>
      <c r="CA24" s="120" t="str">
        <f t="shared" si="60"/>
        <v>No válido</v>
      </c>
      <c r="CC24" s="129" t="str">
        <f t="shared" si="61"/>
        <v>1</v>
      </c>
      <c r="CD24" s="129" t="str">
        <f t="shared" si="19"/>
        <v>1</v>
      </c>
      <c r="CE24" s="129" t="str">
        <f t="shared" si="20"/>
        <v>0</v>
      </c>
      <c r="CF24" s="120" t="str">
        <f t="shared" si="62"/>
        <v>No válido</v>
      </c>
    </row>
    <row r="25" spans="1:84" x14ac:dyDescent="0.25">
      <c r="A25" s="150" t="s">
        <v>80</v>
      </c>
      <c r="D25" s="120">
        <v>15</v>
      </c>
      <c r="E25" s="24">
        <f>'Cálculos - Distintas Ecuaciones'!F30</f>
        <v>4140</v>
      </c>
      <c r="F25" s="39">
        <f>'Cálculos - Distintas Ecuaciones'!Z30+Cunetas!J72+Cunetas!J73</f>
        <v>0.48016198338488542</v>
      </c>
      <c r="G25" s="50" t="str">
        <f t="shared" si="21"/>
        <v>1</v>
      </c>
      <c r="H25" s="120">
        <f t="shared" si="22"/>
        <v>2.4E-2</v>
      </c>
      <c r="I25" s="20">
        <f t="shared" si="23"/>
        <v>0.02</v>
      </c>
      <c r="J25" s="45">
        <v>1.2</v>
      </c>
      <c r="K25" s="67" t="str">
        <f t="shared" si="24"/>
        <v>Circular</v>
      </c>
      <c r="L25" s="45"/>
      <c r="M25" s="45"/>
      <c r="N25" s="5">
        <v>0.37002778266539066</v>
      </c>
      <c r="O25" s="5">
        <f t="shared" si="25"/>
        <v>2.3548876569059356</v>
      </c>
      <c r="P25" s="5">
        <f t="shared" si="26"/>
        <v>1.1083551402943068</v>
      </c>
      <c r="Q25" s="5">
        <f t="shared" si="27"/>
        <v>0.29643433363922145</v>
      </c>
      <c r="R25" s="5">
        <f t="shared" si="28"/>
        <v>1.4129325941435613</v>
      </c>
      <c r="S25" s="5">
        <f t="shared" si="29"/>
        <v>0.20980076110347143</v>
      </c>
      <c r="T25" s="117">
        <f t="shared" si="30"/>
        <v>0.99999996210553577</v>
      </c>
      <c r="U25" s="5">
        <f t="shared" si="31"/>
        <v>1.6197920716203935</v>
      </c>
      <c r="V25" s="39">
        <f t="shared" si="32"/>
        <v>1.2122669785514635E-2</v>
      </c>
      <c r="W25" s="46" t="str">
        <f t="shared" si="33"/>
        <v>Aceptable</v>
      </c>
      <c r="X25" s="5">
        <f t="shared" si="34"/>
        <v>2.3502092791855961E-2</v>
      </c>
      <c r="Y25" s="5">
        <f t="shared" si="35"/>
        <v>2.3502094573054494E-2</v>
      </c>
      <c r="Z25" s="5">
        <f t="shared" si="36"/>
        <v>-1.7811985324189816E-9</v>
      </c>
      <c r="AB25" s="120"/>
      <c r="AC25" s="120" t="str">
        <f t="shared" si="37"/>
        <v/>
      </c>
      <c r="AD25" s="120" t="str">
        <f t="shared" si="38"/>
        <v/>
      </c>
      <c r="AE25" s="120" t="str">
        <f t="shared" si="39"/>
        <v/>
      </c>
      <c r="AF25" s="120" t="str">
        <f t="shared" si="40"/>
        <v/>
      </c>
      <c r="AG25" s="120" t="str">
        <f t="shared" si="41"/>
        <v/>
      </c>
      <c r="AH25" s="120" t="str">
        <f t="shared" si="42"/>
        <v/>
      </c>
      <c r="AI25" s="120" t="str">
        <f t="shared" si="43"/>
        <v/>
      </c>
      <c r="AJ25" s="46" t="str">
        <f t="shared" si="44"/>
        <v/>
      </c>
      <c r="AK25" s="120" t="str">
        <f t="shared" si="45"/>
        <v/>
      </c>
      <c r="AL25" s="120" t="str">
        <f t="shared" si="46"/>
        <v/>
      </c>
      <c r="AM25" s="120" t="str">
        <f t="shared" si="47"/>
        <v/>
      </c>
      <c r="AN25" s="211">
        <v>-9</v>
      </c>
      <c r="AP25" s="39">
        <f t="shared" si="0"/>
        <v>0.167433</v>
      </c>
      <c r="AQ25" s="39">
        <f t="shared" si="1"/>
        <v>0.53859500000000005</v>
      </c>
      <c r="AR25" s="39">
        <f t="shared" si="2"/>
        <v>-0.14937</v>
      </c>
      <c r="AS25" s="39">
        <f t="shared" si="3"/>
        <v>3.9154000000000001E-2</v>
      </c>
      <c r="AT25" s="39">
        <f t="shared" si="4"/>
        <v>-3.4399999999999999E-3</v>
      </c>
      <c r="AU25" s="39">
        <f t="shared" si="5"/>
        <v>1.16E-4</v>
      </c>
      <c r="AV25" s="39">
        <f t="shared" si="6"/>
        <v>0.49827731539618958</v>
      </c>
      <c r="AX25" s="157">
        <v>11.5</v>
      </c>
      <c r="AY25" s="120">
        <f t="shared" si="7"/>
        <v>0.23</v>
      </c>
      <c r="AZ25" s="39">
        <f t="shared" si="8"/>
        <v>0.13372713329685454</v>
      </c>
      <c r="BA25" s="118">
        <f t="shared" si="9"/>
        <v>0.2</v>
      </c>
      <c r="BB25" s="39">
        <f t="shared" si="48"/>
        <v>2.6745426659370908E-2</v>
      </c>
      <c r="BC25" s="39">
        <f t="shared" si="10"/>
        <v>0.13941070253341828</v>
      </c>
      <c r="BD25" s="39">
        <f t="shared" si="11"/>
        <v>0.2998832624896437</v>
      </c>
      <c r="BE25" s="39">
        <f t="shared" si="12"/>
        <v>0.78501389133269528</v>
      </c>
      <c r="BF25" s="39">
        <f t="shared" si="13"/>
        <v>0.85489715382233911</v>
      </c>
      <c r="BG25" s="39">
        <f t="shared" si="49"/>
        <v>0.85489715382233911</v>
      </c>
      <c r="BH25" s="39">
        <f t="shared" si="50"/>
        <v>0.52074762818528264</v>
      </c>
      <c r="BI25" s="39">
        <f t="shared" si="51"/>
        <v>0.71241429485194929</v>
      </c>
      <c r="BK25" s="129" t="str">
        <f t="shared" si="52"/>
        <v>0</v>
      </c>
      <c r="BL25" s="120" t="str">
        <f t="shared" si="53"/>
        <v>0</v>
      </c>
      <c r="BM25" s="120" t="str">
        <f t="shared" si="54"/>
        <v>No válido</v>
      </c>
      <c r="BN25" s="36"/>
      <c r="BO25" s="129" t="str">
        <f t="shared" si="14"/>
        <v>1</v>
      </c>
      <c r="BP25" s="120" t="str">
        <f t="shared" si="55"/>
        <v>0</v>
      </c>
      <c r="BQ25" s="120" t="str">
        <f t="shared" si="15"/>
        <v>0</v>
      </c>
      <c r="BR25" s="120" t="str">
        <f t="shared" si="16"/>
        <v>No válido</v>
      </c>
      <c r="BT25" s="129" t="str">
        <f t="shared" si="56"/>
        <v>0</v>
      </c>
      <c r="BU25" s="120" t="str">
        <f t="shared" si="57"/>
        <v>1</v>
      </c>
      <c r="BV25" s="120" t="str">
        <f t="shared" si="58"/>
        <v>No válido</v>
      </c>
      <c r="BX25" s="129" t="str">
        <f t="shared" si="59"/>
        <v>1</v>
      </c>
      <c r="BY25" s="129" t="str">
        <f t="shared" si="17"/>
        <v>0</v>
      </c>
      <c r="BZ25" s="27" t="str">
        <f t="shared" si="18"/>
        <v>1</v>
      </c>
      <c r="CA25" s="120" t="str">
        <f t="shared" si="60"/>
        <v>No válido</v>
      </c>
      <c r="CC25" s="129" t="str">
        <f t="shared" si="61"/>
        <v>1</v>
      </c>
      <c r="CD25" s="129" t="str">
        <f t="shared" si="19"/>
        <v>1</v>
      </c>
      <c r="CE25" s="129" t="str">
        <f t="shared" si="20"/>
        <v>0</v>
      </c>
      <c r="CF25" s="120" t="str">
        <f t="shared" si="62"/>
        <v>No válido</v>
      </c>
    </row>
    <row r="26" spans="1:84" x14ac:dyDescent="0.25">
      <c r="A26" s="150" t="s">
        <v>162</v>
      </c>
      <c r="D26" s="120">
        <v>16</v>
      </c>
      <c r="E26" s="24">
        <f>'Cálculos - Distintas Ecuaciones'!F31</f>
        <v>4661.6000000000004</v>
      </c>
      <c r="F26" s="39">
        <f>'Cálculos - Distintas Ecuaciones'!Z31+Cunetas!J74+Cunetas!J75+Cunetas!J76</f>
        <v>0.97762716089508983</v>
      </c>
      <c r="G26" s="50" t="str">
        <f t="shared" si="21"/>
        <v>1</v>
      </c>
      <c r="H26" s="120">
        <f t="shared" si="22"/>
        <v>2.4E-2</v>
      </c>
      <c r="I26" s="20">
        <f t="shared" si="23"/>
        <v>0.02</v>
      </c>
      <c r="J26" s="45">
        <v>1.2</v>
      </c>
      <c r="K26" s="67" t="str">
        <f t="shared" si="24"/>
        <v>Circular</v>
      </c>
      <c r="L26" s="45"/>
      <c r="M26" s="45"/>
      <c r="N26" s="5">
        <v>0.53532138702611654</v>
      </c>
      <c r="O26" s="5">
        <f t="shared" si="25"/>
        <v>2.9255775297072493</v>
      </c>
      <c r="P26" s="5">
        <f t="shared" si="26"/>
        <v>1.1930074216429245</v>
      </c>
      <c r="Q26" s="5">
        <f t="shared" si="27"/>
        <v>0.48802292269759823</v>
      </c>
      <c r="R26" s="5">
        <f t="shared" si="28"/>
        <v>1.7553465178243495</v>
      </c>
      <c r="S26" s="5">
        <f t="shared" si="29"/>
        <v>0.27802084531006133</v>
      </c>
      <c r="T26" s="117">
        <f t="shared" si="30"/>
        <v>0.99999998978105253</v>
      </c>
      <c r="U26" s="5">
        <f t="shared" si="31"/>
        <v>2.0032402484111862</v>
      </c>
      <c r="V26" s="39">
        <f t="shared" si="32"/>
        <v>1.2738513317204958E-2</v>
      </c>
      <c r="W26" s="46" t="str">
        <f t="shared" si="33"/>
        <v>Aceptable</v>
      </c>
      <c r="X26" s="5">
        <f t="shared" si="34"/>
        <v>9.7426591816492741E-2</v>
      </c>
      <c r="Y26" s="5">
        <f t="shared" si="35"/>
        <v>9.7426593807687228E-2</v>
      </c>
      <c r="Z26" s="5">
        <f t="shared" si="36"/>
        <v>-1.9911944870720788E-9</v>
      </c>
      <c r="AB26" s="120"/>
      <c r="AC26" s="120" t="str">
        <f t="shared" si="37"/>
        <v/>
      </c>
      <c r="AD26" s="120" t="str">
        <f t="shared" si="38"/>
        <v/>
      </c>
      <c r="AE26" s="120" t="str">
        <f t="shared" si="39"/>
        <v/>
      </c>
      <c r="AF26" s="120" t="str">
        <f t="shared" si="40"/>
        <v/>
      </c>
      <c r="AG26" s="120" t="str">
        <f t="shared" si="41"/>
        <v/>
      </c>
      <c r="AH26" s="120" t="str">
        <f t="shared" si="42"/>
        <v/>
      </c>
      <c r="AI26" s="120" t="str">
        <f t="shared" si="43"/>
        <v/>
      </c>
      <c r="AJ26" s="46" t="str">
        <f t="shared" si="44"/>
        <v/>
      </c>
      <c r="AK26" s="120" t="str">
        <f t="shared" si="45"/>
        <v/>
      </c>
      <c r="AL26" s="120" t="str">
        <f t="shared" si="46"/>
        <v/>
      </c>
      <c r="AM26" s="120" t="str">
        <f t="shared" si="47"/>
        <v/>
      </c>
      <c r="AN26" s="211">
        <v>6</v>
      </c>
      <c r="AP26" s="39">
        <f t="shared" si="0"/>
        <v>0.167433</v>
      </c>
      <c r="AQ26" s="39">
        <f t="shared" si="1"/>
        <v>0.53859500000000005</v>
      </c>
      <c r="AR26" s="39">
        <f t="shared" si="2"/>
        <v>-0.14937</v>
      </c>
      <c r="AS26" s="39">
        <f t="shared" si="3"/>
        <v>3.9154000000000001E-2</v>
      </c>
      <c r="AT26" s="39">
        <f t="shared" si="4"/>
        <v>-3.4399999999999999E-3</v>
      </c>
      <c r="AU26" s="39">
        <f t="shared" si="5"/>
        <v>1.16E-4</v>
      </c>
      <c r="AV26" s="39">
        <f t="shared" si="6"/>
        <v>0.7487333308839037</v>
      </c>
      <c r="AX26" s="157">
        <v>13</v>
      </c>
      <c r="AY26" s="120">
        <f t="shared" si="7"/>
        <v>0.26</v>
      </c>
      <c r="AZ26" s="39">
        <f t="shared" si="8"/>
        <v>0.204534734600128</v>
      </c>
      <c r="BA26" s="118">
        <f t="shared" si="9"/>
        <v>0.2</v>
      </c>
      <c r="BB26" s="39">
        <f t="shared" si="48"/>
        <v>4.0906946920025604E-2</v>
      </c>
      <c r="BC26" s="39">
        <f t="shared" si="10"/>
        <v>0.16560067312366444</v>
      </c>
      <c r="BD26" s="39">
        <f t="shared" si="11"/>
        <v>0.41104235464381805</v>
      </c>
      <c r="BE26" s="39">
        <f t="shared" si="12"/>
        <v>0.86766069351305819</v>
      </c>
      <c r="BF26" s="39">
        <f t="shared" si="13"/>
        <v>1.0187030481568762</v>
      </c>
      <c r="BG26" s="39">
        <f t="shared" si="49"/>
        <v>1.0187030481568762</v>
      </c>
      <c r="BH26" s="39">
        <f t="shared" si="50"/>
        <v>0.63225254013073018</v>
      </c>
      <c r="BI26" s="39">
        <f t="shared" si="51"/>
        <v>0.84891920679739685</v>
      </c>
      <c r="BK26" s="129" t="str">
        <f t="shared" si="52"/>
        <v>0</v>
      </c>
      <c r="BL26" s="120" t="str">
        <f t="shared" si="53"/>
        <v>0</v>
      </c>
      <c r="BM26" s="120" t="str">
        <f t="shared" si="54"/>
        <v>No válido</v>
      </c>
      <c r="BN26" s="36"/>
      <c r="BO26" s="129" t="str">
        <f t="shared" si="14"/>
        <v>1</v>
      </c>
      <c r="BP26" s="120" t="str">
        <f t="shared" si="55"/>
        <v>0</v>
      </c>
      <c r="BQ26" s="120" t="str">
        <f t="shared" si="15"/>
        <v>0</v>
      </c>
      <c r="BR26" s="120" t="str">
        <f t="shared" si="16"/>
        <v>No válido</v>
      </c>
      <c r="BT26" s="129" t="str">
        <f t="shared" si="56"/>
        <v>0</v>
      </c>
      <c r="BU26" s="120" t="str">
        <f t="shared" si="57"/>
        <v>1</v>
      </c>
      <c r="BV26" s="120" t="str">
        <f t="shared" si="58"/>
        <v>No válido</v>
      </c>
      <c r="BX26" s="129" t="str">
        <f t="shared" si="59"/>
        <v>1</v>
      </c>
      <c r="BY26" s="129" t="str">
        <f t="shared" si="17"/>
        <v>0</v>
      </c>
      <c r="BZ26" s="27" t="str">
        <f t="shared" si="18"/>
        <v>1</v>
      </c>
      <c r="CA26" s="120" t="str">
        <f t="shared" si="60"/>
        <v>No válido</v>
      </c>
      <c r="CC26" s="129" t="str">
        <f t="shared" si="61"/>
        <v>1</v>
      </c>
      <c r="CD26" s="129" t="str">
        <f t="shared" si="19"/>
        <v>1</v>
      </c>
      <c r="CE26" s="129" t="str">
        <f t="shared" si="20"/>
        <v>0</v>
      </c>
      <c r="CF26" s="120" t="str">
        <f t="shared" si="62"/>
        <v>No válido</v>
      </c>
    </row>
    <row r="27" spans="1:84" x14ac:dyDescent="0.25">
      <c r="A27" s="150" t="s">
        <v>162</v>
      </c>
      <c r="D27" s="120">
        <v>17</v>
      </c>
      <c r="E27" s="24">
        <f>'Cálculos - Distintas Ecuaciones'!F32</f>
        <v>4785</v>
      </c>
      <c r="F27" s="39">
        <f>'Cálculos - Distintas Ecuaciones'!Z32+Cunetas!J77</f>
        <v>7.8584513189467353E-2</v>
      </c>
      <c r="G27" s="50" t="str">
        <f t="shared" si="21"/>
        <v>1</v>
      </c>
      <c r="H27" s="120">
        <f t="shared" si="22"/>
        <v>2.4E-2</v>
      </c>
      <c r="I27" s="20">
        <v>0.05</v>
      </c>
      <c r="J27" s="45">
        <v>1.2</v>
      </c>
      <c r="K27" s="67" t="str">
        <f t="shared" si="24"/>
        <v>Circular</v>
      </c>
      <c r="L27" s="45"/>
      <c r="M27" s="45"/>
      <c r="N27" s="5">
        <v>0.14685591169125436</v>
      </c>
      <c r="O27" s="5">
        <f t="shared" si="25"/>
        <v>1.4295517967395293</v>
      </c>
      <c r="P27" s="5">
        <f t="shared" si="26"/>
        <v>0.78653781913099574</v>
      </c>
      <c r="Q27" s="5">
        <f t="shared" si="27"/>
        <v>7.9111841927883189E-2</v>
      </c>
      <c r="R27" s="5">
        <f t="shared" si="28"/>
        <v>0.85773107804371751</v>
      </c>
      <c r="S27" s="5">
        <f t="shared" si="29"/>
        <v>9.2233852722602358E-2</v>
      </c>
      <c r="T27" s="117">
        <f t="shared" si="30"/>
        <v>1.0000000555399158</v>
      </c>
      <c r="U27" s="5">
        <f t="shared" si="31"/>
        <v>0.99333438932067164</v>
      </c>
      <c r="V27" s="39">
        <f t="shared" si="32"/>
        <v>1.3638280722317479E-2</v>
      </c>
      <c r="W27" s="46" t="str">
        <f t="shared" si="33"/>
        <v>Aceptable</v>
      </c>
      <c r="X27" s="5">
        <f t="shared" si="34"/>
        <v>6.2951332448782545E-4</v>
      </c>
      <c r="Y27" s="5">
        <f t="shared" si="35"/>
        <v>6.2951325456159734E-4</v>
      </c>
      <c r="Z27" s="5">
        <f t="shared" si="36"/>
        <v>6.9926228110812894E-11</v>
      </c>
      <c r="AB27" s="120"/>
      <c r="AC27" s="120" t="str">
        <f t="shared" si="37"/>
        <v/>
      </c>
      <c r="AD27" s="120" t="str">
        <f t="shared" si="38"/>
        <v/>
      </c>
      <c r="AE27" s="120" t="str">
        <f t="shared" si="39"/>
        <v/>
      </c>
      <c r="AF27" s="120" t="str">
        <f t="shared" si="40"/>
        <v/>
      </c>
      <c r="AG27" s="120" t="str">
        <f t="shared" si="41"/>
        <v/>
      </c>
      <c r="AH27" s="120" t="str">
        <f t="shared" si="42"/>
        <v/>
      </c>
      <c r="AI27" s="120" t="str">
        <f t="shared" si="43"/>
        <v/>
      </c>
      <c r="AJ27" s="46" t="str">
        <f t="shared" si="44"/>
        <v/>
      </c>
      <c r="AK27" s="120" t="str">
        <f t="shared" si="45"/>
        <v/>
      </c>
      <c r="AL27" s="120" t="str">
        <f t="shared" si="46"/>
        <v/>
      </c>
      <c r="AM27" s="120" t="str">
        <f t="shared" si="47"/>
        <v/>
      </c>
      <c r="AN27" s="211">
        <v>41</v>
      </c>
      <c r="AP27" s="39">
        <f t="shared" si="0"/>
        <v>0.167433</v>
      </c>
      <c r="AQ27" s="39">
        <f t="shared" si="1"/>
        <v>0.53859500000000005</v>
      </c>
      <c r="AR27" s="39">
        <f t="shared" si="2"/>
        <v>-0.14937</v>
      </c>
      <c r="AS27" s="39">
        <f t="shared" si="3"/>
        <v>3.9154000000000001E-2</v>
      </c>
      <c r="AT27" s="39">
        <f t="shared" si="4"/>
        <v>-3.4399999999999999E-3</v>
      </c>
      <c r="AU27" s="39">
        <f t="shared" si="5"/>
        <v>1.16E-4</v>
      </c>
      <c r="AV27" s="39">
        <f t="shared" si="6"/>
        <v>0.227814695835204</v>
      </c>
      <c r="AX27" s="157">
        <v>9</v>
      </c>
      <c r="AY27" s="120">
        <f t="shared" si="7"/>
        <v>0.45</v>
      </c>
      <c r="AZ27" s="39">
        <f t="shared" si="8"/>
        <v>5.0291193119626487E-2</v>
      </c>
      <c r="BA27" s="118">
        <f t="shared" si="9"/>
        <v>0.2</v>
      </c>
      <c r="BB27" s="39">
        <f t="shared" si="48"/>
        <v>1.0058238623925297E-2</v>
      </c>
      <c r="BC27" s="39">
        <f t="shared" si="10"/>
        <v>0.12274452650085732</v>
      </c>
      <c r="BD27" s="39">
        <f t="shared" si="11"/>
        <v>0.18309395824440911</v>
      </c>
      <c r="BE27" s="39">
        <f t="shared" si="12"/>
        <v>0.6734279558456272</v>
      </c>
      <c r="BF27" s="39">
        <f t="shared" si="13"/>
        <v>0.4065219140900363</v>
      </c>
      <c r="BG27" s="39">
        <f t="shared" si="49"/>
        <v>0.4065219140900363</v>
      </c>
      <c r="BH27" s="39">
        <f t="shared" si="50"/>
        <v>-3.6231738258303101E-2</v>
      </c>
      <c r="BI27" s="39">
        <f t="shared" si="51"/>
        <v>0.33876826174169694</v>
      </c>
      <c r="BK27" s="129" t="str">
        <f t="shared" si="52"/>
        <v>0</v>
      </c>
      <c r="BL27" s="120" t="str">
        <f t="shared" si="53"/>
        <v>0</v>
      </c>
      <c r="BM27" s="120" t="str">
        <f t="shared" si="54"/>
        <v>No válido</v>
      </c>
      <c r="BN27" s="36"/>
      <c r="BO27" s="129" t="str">
        <f t="shared" si="14"/>
        <v>1</v>
      </c>
      <c r="BP27" s="120" t="str">
        <f t="shared" si="55"/>
        <v>0</v>
      </c>
      <c r="BQ27" s="120" t="str">
        <f t="shared" si="15"/>
        <v>0</v>
      </c>
      <c r="BR27" s="120" t="str">
        <f t="shared" si="16"/>
        <v>No válido</v>
      </c>
      <c r="BT27" s="129" t="str">
        <f t="shared" si="56"/>
        <v>0</v>
      </c>
      <c r="BU27" s="120" t="str">
        <f t="shared" si="57"/>
        <v>1</v>
      </c>
      <c r="BV27" s="120" t="str">
        <f t="shared" si="58"/>
        <v>No válido</v>
      </c>
      <c r="BX27" s="129" t="str">
        <f t="shared" si="59"/>
        <v>1</v>
      </c>
      <c r="BY27" s="129" t="str">
        <f t="shared" si="17"/>
        <v>0</v>
      </c>
      <c r="BZ27" s="27" t="str">
        <f t="shared" si="18"/>
        <v>1</v>
      </c>
      <c r="CA27" s="120" t="str">
        <f t="shared" si="60"/>
        <v>No válido</v>
      </c>
      <c r="CC27" s="129" t="str">
        <f t="shared" si="61"/>
        <v>1</v>
      </c>
      <c r="CD27" s="129" t="str">
        <f t="shared" si="19"/>
        <v>1</v>
      </c>
      <c r="CE27" s="129" t="str">
        <f t="shared" si="20"/>
        <v>0</v>
      </c>
      <c r="CF27" s="120" t="str">
        <f t="shared" si="62"/>
        <v>No válido</v>
      </c>
    </row>
    <row r="28" spans="1:84" x14ac:dyDescent="0.25">
      <c r="A28" s="95" t="s">
        <v>162</v>
      </c>
      <c r="D28" s="120">
        <v>18</v>
      </c>
      <c r="E28" s="24">
        <f>'Cálculos - Distintas Ecuaciones'!F33</f>
        <v>4978</v>
      </c>
      <c r="F28" s="39">
        <f>'Cálculos - Distintas Ecuaciones'!Z33+Cunetas!J78</f>
        <v>0.20385904336339952</v>
      </c>
      <c r="G28" s="50" t="str">
        <f t="shared" si="21"/>
        <v>1</v>
      </c>
      <c r="H28" s="120">
        <f t="shared" si="22"/>
        <v>2.4E-2</v>
      </c>
      <c r="I28" s="20">
        <f t="shared" si="23"/>
        <v>0.02</v>
      </c>
      <c r="J28" s="45">
        <v>1.2</v>
      </c>
      <c r="K28" s="67" t="str">
        <f t="shared" si="24"/>
        <v>Circular</v>
      </c>
      <c r="L28" s="45"/>
      <c r="M28" s="45"/>
      <c r="N28" s="5">
        <v>0.23839340229599282</v>
      </c>
      <c r="O28" s="5">
        <f t="shared" si="25"/>
        <v>1.84788784297349</v>
      </c>
      <c r="P28" s="5">
        <f t="shared" si="26"/>
        <v>0.95758168006062505</v>
      </c>
      <c r="Q28" s="5">
        <f t="shared" si="27"/>
        <v>0.15948588506002331</v>
      </c>
      <c r="R28" s="5">
        <f t="shared" si="28"/>
        <v>1.1087327057840939</v>
      </c>
      <c r="S28" s="5">
        <f t="shared" si="29"/>
        <v>0.14384520653896934</v>
      </c>
      <c r="T28" s="117">
        <f t="shared" si="30"/>
        <v>1.0000000307252523</v>
      </c>
      <c r="U28" s="5">
        <f t="shared" si="31"/>
        <v>1.2782262410662621</v>
      </c>
      <c r="V28" s="39">
        <f t="shared" si="32"/>
        <v>1.2486596638114663E-2</v>
      </c>
      <c r="W28" s="46" t="str">
        <f t="shared" si="33"/>
        <v>Aceptable</v>
      </c>
      <c r="X28" s="5">
        <f t="shared" si="34"/>
        <v>4.2363414435311322E-3</v>
      </c>
      <c r="Y28" s="5">
        <f t="shared" si="35"/>
        <v>4.2363411832058249E-3</v>
      </c>
      <c r="Z28" s="5">
        <f t="shared" si="36"/>
        <v>2.6032530731773251E-10</v>
      </c>
      <c r="AB28" s="120"/>
      <c r="AC28" s="120" t="str">
        <f t="shared" si="37"/>
        <v/>
      </c>
      <c r="AD28" s="120" t="str">
        <f t="shared" si="38"/>
        <v/>
      </c>
      <c r="AE28" s="120" t="str">
        <f t="shared" si="39"/>
        <v/>
      </c>
      <c r="AF28" s="120" t="str">
        <f t="shared" si="40"/>
        <v/>
      </c>
      <c r="AG28" s="120" t="str">
        <f t="shared" si="41"/>
        <v/>
      </c>
      <c r="AH28" s="120" t="str">
        <f t="shared" si="42"/>
        <v/>
      </c>
      <c r="AI28" s="120" t="str">
        <f t="shared" si="43"/>
        <v/>
      </c>
      <c r="AJ28" s="46" t="str">
        <f t="shared" si="44"/>
        <v/>
      </c>
      <c r="AK28" s="120" t="str">
        <f t="shared" si="45"/>
        <v/>
      </c>
      <c r="AL28" s="120" t="str">
        <f t="shared" si="46"/>
        <v/>
      </c>
      <c r="AM28" s="120" t="str">
        <f t="shared" si="47"/>
        <v/>
      </c>
      <c r="AN28" s="211">
        <v>16</v>
      </c>
      <c r="AP28" s="39">
        <f t="shared" si="0"/>
        <v>0.167433</v>
      </c>
      <c r="AQ28" s="39">
        <f t="shared" si="1"/>
        <v>0.53859500000000005</v>
      </c>
      <c r="AR28" s="39">
        <f t="shared" si="2"/>
        <v>-0.14937</v>
      </c>
      <c r="AS28" s="39">
        <f t="shared" si="3"/>
        <v>3.9154000000000001E-2</v>
      </c>
      <c r="AT28" s="39">
        <f t="shared" si="4"/>
        <v>-3.4399999999999999E-3</v>
      </c>
      <c r="AU28" s="39">
        <f t="shared" si="5"/>
        <v>1.16E-4</v>
      </c>
      <c r="AV28" s="39">
        <f t="shared" si="6"/>
        <v>0.33097927768741092</v>
      </c>
      <c r="AX28" s="157">
        <v>15</v>
      </c>
      <c r="AY28" s="120">
        <f t="shared" si="7"/>
        <v>0.3</v>
      </c>
      <c r="AZ28" s="39">
        <f t="shared" si="8"/>
        <v>8.3275347775249031E-2</v>
      </c>
      <c r="BA28" s="118">
        <f t="shared" si="9"/>
        <v>0.2</v>
      </c>
      <c r="BB28" s="39">
        <f t="shared" si="48"/>
        <v>1.6655069555049806E-2</v>
      </c>
      <c r="BC28" s="39">
        <f t="shared" si="10"/>
        <v>0.18729894957171994</v>
      </c>
      <c r="BD28" s="39">
        <f t="shared" si="11"/>
        <v>0.28722936690201878</v>
      </c>
      <c r="BE28" s="39">
        <f t="shared" si="12"/>
        <v>0.71919670114799639</v>
      </c>
      <c r="BF28" s="39">
        <f t="shared" si="13"/>
        <v>0.70642606805001518</v>
      </c>
      <c r="BG28" s="39">
        <f t="shared" si="49"/>
        <v>0.70642606805001518</v>
      </c>
      <c r="BH28" s="39">
        <f t="shared" si="50"/>
        <v>0.33868839004167933</v>
      </c>
      <c r="BI28" s="39">
        <f t="shared" si="51"/>
        <v>0.58868839004167939</v>
      </c>
      <c r="BK28" s="129" t="str">
        <f t="shared" si="52"/>
        <v>0</v>
      </c>
      <c r="BL28" s="120" t="str">
        <f t="shared" si="53"/>
        <v>0</v>
      </c>
      <c r="BM28" s="120" t="str">
        <f t="shared" si="54"/>
        <v>No válido</v>
      </c>
      <c r="BN28" s="36"/>
      <c r="BO28" s="129" t="str">
        <f t="shared" si="14"/>
        <v>1</v>
      </c>
      <c r="BP28" s="120" t="str">
        <f t="shared" si="55"/>
        <v>0</v>
      </c>
      <c r="BQ28" s="120" t="str">
        <f t="shared" si="15"/>
        <v>0</v>
      </c>
      <c r="BR28" s="120" t="str">
        <f t="shared" si="16"/>
        <v>No válido</v>
      </c>
      <c r="BT28" s="129" t="str">
        <f t="shared" si="56"/>
        <v>0</v>
      </c>
      <c r="BU28" s="120" t="str">
        <f t="shared" si="57"/>
        <v>1</v>
      </c>
      <c r="BV28" s="120" t="str">
        <f t="shared" si="58"/>
        <v>No válido</v>
      </c>
      <c r="BX28" s="129" t="str">
        <f t="shared" si="59"/>
        <v>1</v>
      </c>
      <c r="BY28" s="129" t="str">
        <f t="shared" si="17"/>
        <v>0</v>
      </c>
      <c r="BZ28" s="27" t="str">
        <f t="shared" si="18"/>
        <v>1</v>
      </c>
      <c r="CA28" s="120" t="str">
        <f t="shared" si="60"/>
        <v>No válido</v>
      </c>
      <c r="CC28" s="129" t="str">
        <f t="shared" si="61"/>
        <v>1</v>
      </c>
      <c r="CD28" s="129" t="str">
        <f t="shared" si="19"/>
        <v>1</v>
      </c>
      <c r="CE28" s="129" t="str">
        <f t="shared" si="20"/>
        <v>0</v>
      </c>
      <c r="CF28" s="120" t="str">
        <f t="shared" si="62"/>
        <v>No válido</v>
      </c>
    </row>
    <row r="29" spans="1:84" x14ac:dyDescent="0.25">
      <c r="A29" s="150" t="s">
        <v>80</v>
      </c>
      <c r="D29" s="120">
        <v>19</v>
      </c>
      <c r="E29" s="24">
        <f>'Cálculos - Distintas Ecuaciones'!F34</f>
        <v>5230</v>
      </c>
      <c r="F29" s="39">
        <f>'Cálculos - Distintas Ecuaciones'!Z34+Cunetas!J79+Cunetas!J80</f>
        <v>0.19525622728570735</v>
      </c>
      <c r="G29" s="50" t="str">
        <f t="shared" si="21"/>
        <v>1</v>
      </c>
      <c r="H29" s="120">
        <f t="shared" si="22"/>
        <v>2.4E-2</v>
      </c>
      <c r="I29" s="20">
        <f t="shared" si="23"/>
        <v>0.02</v>
      </c>
      <c r="J29" s="45">
        <v>1.2</v>
      </c>
      <c r="K29" s="67" t="str">
        <f t="shared" si="24"/>
        <v>Circular</v>
      </c>
      <c r="L29" s="45"/>
      <c r="M29" s="45"/>
      <c r="N29" s="5">
        <v>0.23320509639338419</v>
      </c>
      <c r="O29" s="5">
        <f t="shared" si="25"/>
        <v>1.8261254563964655</v>
      </c>
      <c r="P29" s="5">
        <f t="shared" si="26"/>
        <v>0.9496557243300614</v>
      </c>
      <c r="Q29" s="5">
        <f t="shared" si="27"/>
        <v>0.15453814221880588</v>
      </c>
      <c r="R29" s="5">
        <f t="shared" si="28"/>
        <v>1.0956752738378792</v>
      </c>
      <c r="S29" s="5">
        <f t="shared" si="29"/>
        <v>0.14104374344188406</v>
      </c>
      <c r="T29" s="117">
        <f t="shared" si="30"/>
        <v>0.99999989545952361</v>
      </c>
      <c r="U29" s="5">
        <f t="shared" si="31"/>
        <v>1.2634824288831554</v>
      </c>
      <c r="V29" s="39">
        <f t="shared" si="32"/>
        <v>1.2524367289231699E-2</v>
      </c>
      <c r="W29" s="46" t="str">
        <f t="shared" si="33"/>
        <v>Aceptable</v>
      </c>
      <c r="X29" s="5">
        <f t="shared" si="34"/>
        <v>3.8863398872423863E-3</v>
      </c>
      <c r="Y29" s="5">
        <f t="shared" si="35"/>
        <v>3.8863406998021601E-3</v>
      </c>
      <c r="Z29" s="5">
        <f t="shared" si="36"/>
        <v>-8.1255977380650934E-10</v>
      </c>
      <c r="AB29" s="120"/>
      <c r="AC29" s="120" t="str">
        <f t="shared" si="37"/>
        <v/>
      </c>
      <c r="AD29" s="120" t="str">
        <f t="shared" si="38"/>
        <v/>
      </c>
      <c r="AE29" s="120" t="str">
        <f t="shared" si="39"/>
        <v/>
      </c>
      <c r="AF29" s="120" t="str">
        <f t="shared" si="40"/>
        <v/>
      </c>
      <c r="AG29" s="120" t="str">
        <f t="shared" si="41"/>
        <v/>
      </c>
      <c r="AH29" s="120" t="str">
        <f t="shared" si="42"/>
        <v/>
      </c>
      <c r="AI29" s="120" t="str">
        <f t="shared" si="43"/>
        <v/>
      </c>
      <c r="AJ29" s="46" t="str">
        <f t="shared" si="44"/>
        <v/>
      </c>
      <c r="AK29" s="120" t="str">
        <f t="shared" si="45"/>
        <v/>
      </c>
      <c r="AL29" s="120" t="str">
        <f t="shared" si="46"/>
        <v/>
      </c>
      <c r="AM29" s="120" t="str">
        <f t="shared" si="47"/>
        <v/>
      </c>
      <c r="AN29" s="211">
        <v>0</v>
      </c>
      <c r="AP29" s="39">
        <f t="shared" si="0"/>
        <v>0.167433</v>
      </c>
      <c r="AQ29" s="39">
        <f t="shared" si="1"/>
        <v>0.53859500000000005</v>
      </c>
      <c r="AR29" s="39">
        <f t="shared" si="2"/>
        <v>-0.14937</v>
      </c>
      <c r="AS29" s="39">
        <f t="shared" si="3"/>
        <v>3.9154000000000001E-2</v>
      </c>
      <c r="AT29" s="39">
        <f t="shared" si="4"/>
        <v>-3.4399999999999999E-3</v>
      </c>
      <c r="AU29" s="39">
        <f t="shared" si="5"/>
        <v>1.16E-4</v>
      </c>
      <c r="AV29" s="39">
        <f t="shared" si="6"/>
        <v>0.32533510074148325</v>
      </c>
      <c r="AX29" s="157">
        <v>9.5500000000000007</v>
      </c>
      <c r="AY29" s="120">
        <f t="shared" si="7"/>
        <v>0.19100000000000003</v>
      </c>
      <c r="AZ29" s="39">
        <f t="shared" si="8"/>
        <v>8.1365333745997859E-2</v>
      </c>
      <c r="BA29" s="118">
        <f t="shared" si="9"/>
        <v>0.2</v>
      </c>
      <c r="BB29" s="39">
        <f t="shared" si="48"/>
        <v>1.6273066749199573E-2</v>
      </c>
      <c r="BC29" s="39">
        <f t="shared" si="10"/>
        <v>0.11960770761216273</v>
      </c>
      <c r="BD29" s="39">
        <f t="shared" si="11"/>
        <v>0.21724610810736017</v>
      </c>
      <c r="BE29" s="39">
        <f t="shared" si="12"/>
        <v>0.71660254819669211</v>
      </c>
      <c r="BF29" s="39">
        <f t="shared" si="13"/>
        <v>0.74284865630405217</v>
      </c>
      <c r="BG29" s="39">
        <f t="shared" si="49"/>
        <v>0.74284865630405217</v>
      </c>
      <c r="BH29" s="39">
        <f t="shared" si="50"/>
        <v>0.45987388025337678</v>
      </c>
      <c r="BI29" s="39">
        <f t="shared" si="51"/>
        <v>0.61904054692004351</v>
      </c>
      <c r="BK29" s="129" t="str">
        <f t="shared" si="52"/>
        <v>0</v>
      </c>
      <c r="BL29" s="120" t="str">
        <f t="shared" si="53"/>
        <v>0</v>
      </c>
      <c r="BM29" s="120" t="str">
        <f t="shared" si="54"/>
        <v>No válido</v>
      </c>
      <c r="BN29" s="36"/>
      <c r="BO29" s="129" t="str">
        <f t="shared" si="14"/>
        <v>1</v>
      </c>
      <c r="BP29" s="120" t="str">
        <f t="shared" si="55"/>
        <v>0</v>
      </c>
      <c r="BQ29" s="120" t="str">
        <f t="shared" si="15"/>
        <v>0</v>
      </c>
      <c r="BR29" s="120" t="str">
        <f t="shared" si="16"/>
        <v>No válido</v>
      </c>
      <c r="BT29" s="129" t="str">
        <f t="shared" si="56"/>
        <v>0</v>
      </c>
      <c r="BU29" s="120" t="str">
        <f t="shared" si="57"/>
        <v>1</v>
      </c>
      <c r="BV29" s="120" t="str">
        <f t="shared" si="58"/>
        <v>No válido</v>
      </c>
      <c r="BX29" s="129" t="str">
        <f t="shared" si="59"/>
        <v>1</v>
      </c>
      <c r="BY29" s="129" t="str">
        <f t="shared" si="17"/>
        <v>0</v>
      </c>
      <c r="BZ29" s="27" t="str">
        <f t="shared" si="18"/>
        <v>1</v>
      </c>
      <c r="CA29" s="120" t="str">
        <f t="shared" si="60"/>
        <v>No válido</v>
      </c>
      <c r="CC29" s="129" t="str">
        <f t="shared" si="61"/>
        <v>1</v>
      </c>
      <c r="CD29" s="129" t="str">
        <f t="shared" si="19"/>
        <v>1</v>
      </c>
      <c r="CE29" s="129" t="str">
        <f t="shared" si="20"/>
        <v>0</v>
      </c>
      <c r="CF29" s="120" t="str">
        <f t="shared" si="62"/>
        <v>No válido</v>
      </c>
    </row>
    <row r="30" spans="1:84" x14ac:dyDescent="0.25">
      <c r="A30" s="150" t="s">
        <v>78</v>
      </c>
      <c r="D30" s="120">
        <v>20</v>
      </c>
      <c r="E30" s="24">
        <f>'Cálculos - Distintas Ecuaciones'!F35</f>
        <v>5494</v>
      </c>
      <c r="F30" s="39">
        <f>'Cálculos - Distintas Ecuaciones'!Z35+Cunetas!J81+Cunetas!J82</f>
        <v>0.21424360558692804</v>
      </c>
      <c r="G30" s="50" t="str">
        <f t="shared" si="21"/>
        <v>1</v>
      </c>
      <c r="H30" s="120">
        <f t="shared" si="22"/>
        <v>2.4E-2</v>
      </c>
      <c r="I30" s="20">
        <f t="shared" si="23"/>
        <v>0.02</v>
      </c>
      <c r="J30" s="45">
        <v>1.2</v>
      </c>
      <c r="K30" s="67" t="str">
        <f t="shared" si="24"/>
        <v>Circular</v>
      </c>
      <c r="L30" s="45"/>
      <c r="M30" s="45"/>
      <c r="N30" s="5">
        <v>0.2445185791997157</v>
      </c>
      <c r="O30" s="5">
        <f t="shared" si="25"/>
        <v>1.8733521248090717</v>
      </c>
      <c r="P30" s="5">
        <f t="shared" si="26"/>
        <v>0.9667118691022909</v>
      </c>
      <c r="Q30" s="5">
        <f t="shared" si="27"/>
        <v>0.16537932809914249</v>
      </c>
      <c r="R30" s="5">
        <f t="shared" si="28"/>
        <v>1.1240112748854429</v>
      </c>
      <c r="S30" s="5">
        <f t="shared" si="29"/>
        <v>0.14713315764203311</v>
      </c>
      <c r="T30" s="117">
        <f t="shared" si="30"/>
        <v>1.0000001280779605</v>
      </c>
      <c r="U30" s="5">
        <f t="shared" si="31"/>
        <v>1.2954678680184994</v>
      </c>
      <c r="V30" s="39">
        <f t="shared" si="32"/>
        <v>1.2445003804297722E-2</v>
      </c>
      <c r="W30" s="46" t="str">
        <f t="shared" si="33"/>
        <v>Aceptable</v>
      </c>
      <c r="X30" s="5">
        <f t="shared" si="34"/>
        <v>4.6789319607428315E-3</v>
      </c>
      <c r="Y30" s="5">
        <f t="shared" si="35"/>
        <v>4.6789307622069377E-3</v>
      </c>
      <c r="Z30" s="5">
        <f t="shared" si="36"/>
        <v>1.1985358937954826E-9</v>
      </c>
      <c r="AB30" s="120"/>
      <c r="AC30" s="120" t="str">
        <f t="shared" si="37"/>
        <v/>
      </c>
      <c r="AD30" s="120" t="str">
        <f t="shared" si="38"/>
        <v/>
      </c>
      <c r="AE30" s="120" t="str">
        <f t="shared" si="39"/>
        <v/>
      </c>
      <c r="AF30" s="120" t="str">
        <f t="shared" si="40"/>
        <v/>
      </c>
      <c r="AG30" s="120" t="str">
        <f t="shared" si="41"/>
        <v/>
      </c>
      <c r="AH30" s="120" t="str">
        <f t="shared" si="42"/>
        <v/>
      </c>
      <c r="AI30" s="120" t="str">
        <f t="shared" si="43"/>
        <v/>
      </c>
      <c r="AJ30" s="46" t="str">
        <f t="shared" si="44"/>
        <v/>
      </c>
      <c r="AK30" s="120" t="str">
        <f t="shared" si="45"/>
        <v/>
      </c>
      <c r="AL30" s="120" t="str">
        <f t="shared" si="46"/>
        <v/>
      </c>
      <c r="AM30" s="120" t="str">
        <f t="shared" si="47"/>
        <v/>
      </c>
      <c r="AN30" s="211">
        <v>0</v>
      </c>
      <c r="AP30" s="39">
        <f t="shared" si="0"/>
        <v>0.167433</v>
      </c>
      <c r="AQ30" s="39">
        <f t="shared" si="1"/>
        <v>0.53859500000000005</v>
      </c>
      <c r="AR30" s="39">
        <f t="shared" si="2"/>
        <v>-0.14937</v>
      </c>
      <c r="AS30" s="39">
        <f t="shared" si="3"/>
        <v>3.9154000000000001E-2</v>
      </c>
      <c r="AT30" s="39">
        <f t="shared" si="4"/>
        <v>-3.4399999999999999E-3</v>
      </c>
      <c r="AU30" s="39">
        <f t="shared" si="5"/>
        <v>1.16E-4</v>
      </c>
      <c r="AV30" s="39">
        <f t="shared" si="6"/>
        <v>0.33775408475558888</v>
      </c>
      <c r="AX30" s="157">
        <v>9.4499999999999993</v>
      </c>
      <c r="AY30" s="120">
        <f t="shared" si="7"/>
        <v>0.189</v>
      </c>
      <c r="AZ30" s="39">
        <f t="shared" si="8"/>
        <v>8.5537053877084421E-2</v>
      </c>
      <c r="BA30" s="118">
        <f t="shared" si="9"/>
        <v>0.2</v>
      </c>
      <c r="BB30" s="39">
        <f t="shared" si="48"/>
        <v>1.7107410775416883E-2</v>
      </c>
      <c r="BC30" s="39">
        <f t="shared" si="10"/>
        <v>0.11760528595061348</v>
      </c>
      <c r="BD30" s="39">
        <f t="shared" si="11"/>
        <v>0.2202497506031148</v>
      </c>
      <c r="BE30" s="39">
        <f t="shared" si="12"/>
        <v>0.72225928959985786</v>
      </c>
      <c r="BF30" s="39">
        <f t="shared" si="13"/>
        <v>0.75350904020297271</v>
      </c>
      <c r="BG30" s="39">
        <f t="shared" si="49"/>
        <v>0.75350904020297271</v>
      </c>
      <c r="BH30" s="39">
        <f t="shared" si="50"/>
        <v>0.47042420016914388</v>
      </c>
      <c r="BI30" s="39">
        <f t="shared" si="51"/>
        <v>0.62792420016914396</v>
      </c>
      <c r="BK30" s="129" t="str">
        <f t="shared" si="52"/>
        <v>0</v>
      </c>
      <c r="BL30" s="120" t="str">
        <f t="shared" si="53"/>
        <v>0</v>
      </c>
      <c r="BM30" s="120" t="str">
        <f t="shared" si="54"/>
        <v>No válido</v>
      </c>
      <c r="BN30" s="36"/>
      <c r="BO30" s="129" t="str">
        <f t="shared" si="14"/>
        <v>1</v>
      </c>
      <c r="BP30" s="120" t="str">
        <f t="shared" si="55"/>
        <v>0</v>
      </c>
      <c r="BQ30" s="120" t="str">
        <f t="shared" si="15"/>
        <v>0</v>
      </c>
      <c r="BR30" s="120" t="str">
        <f t="shared" si="16"/>
        <v>No válido</v>
      </c>
      <c r="BT30" s="129" t="str">
        <f t="shared" si="56"/>
        <v>0</v>
      </c>
      <c r="BU30" s="120" t="str">
        <f t="shared" si="57"/>
        <v>1</v>
      </c>
      <c r="BV30" s="120" t="str">
        <f t="shared" si="58"/>
        <v>No válido</v>
      </c>
      <c r="BX30" s="129" t="str">
        <f t="shared" si="59"/>
        <v>1</v>
      </c>
      <c r="BY30" s="129" t="str">
        <f t="shared" si="17"/>
        <v>0</v>
      </c>
      <c r="BZ30" s="27" t="str">
        <f t="shared" si="18"/>
        <v>1</v>
      </c>
      <c r="CA30" s="120" t="str">
        <f t="shared" si="60"/>
        <v>No válido</v>
      </c>
      <c r="CC30" s="129" t="str">
        <f t="shared" si="61"/>
        <v>1</v>
      </c>
      <c r="CD30" s="129" t="str">
        <f t="shared" si="19"/>
        <v>1</v>
      </c>
      <c r="CE30" s="129" t="str">
        <f t="shared" si="20"/>
        <v>0</v>
      </c>
      <c r="CF30" s="120" t="str">
        <f t="shared" si="62"/>
        <v>No válido</v>
      </c>
    </row>
    <row r="31" spans="1:84" x14ac:dyDescent="0.25">
      <c r="A31" s="150" t="s">
        <v>78</v>
      </c>
      <c r="D31" s="120">
        <v>21</v>
      </c>
      <c r="E31" s="24">
        <f>'Cálculos - Distintas Ecuaciones'!F36</f>
        <v>6057</v>
      </c>
      <c r="F31" s="39">
        <f>'Cálculos - Distintas Ecuaciones'!Z36+Cunetas!J83+Cunetas!J84</f>
        <v>0.15461091845539998</v>
      </c>
      <c r="G31" s="50" t="str">
        <f t="shared" si="21"/>
        <v>1</v>
      </c>
      <c r="H31" s="120">
        <f t="shared" si="22"/>
        <v>2.4E-2</v>
      </c>
      <c r="I31" s="20">
        <f t="shared" si="23"/>
        <v>0.02</v>
      </c>
      <c r="J31" s="45">
        <v>1.2</v>
      </c>
      <c r="K31" s="67" t="str">
        <f t="shared" si="24"/>
        <v>Circular</v>
      </c>
      <c r="L31" s="45"/>
      <c r="M31" s="45"/>
      <c r="N31" s="5">
        <v>0.20705239205744788</v>
      </c>
      <c r="O31" s="5">
        <f t="shared" si="25"/>
        <v>1.7134585200645807</v>
      </c>
      <c r="P31" s="5">
        <f t="shared" si="26"/>
        <v>0.90684547175850494</v>
      </c>
      <c r="Q31" s="5">
        <f t="shared" si="27"/>
        <v>0.13025115416110467</v>
      </c>
      <c r="R31" s="5">
        <f t="shared" si="28"/>
        <v>1.0280751120387484</v>
      </c>
      <c r="S31" s="5">
        <f t="shared" si="29"/>
        <v>0.12669420029321307</v>
      </c>
      <c r="T31" s="117">
        <f t="shared" si="30"/>
        <v>0.99999983953833749</v>
      </c>
      <c r="U31" s="5">
        <f t="shared" si="31"/>
        <v>1.1870214851544831</v>
      </c>
      <c r="V31" s="39">
        <f t="shared" si="32"/>
        <v>1.2754516410577364E-2</v>
      </c>
      <c r="W31" s="46" t="str">
        <f t="shared" si="33"/>
        <v>Aceptable</v>
      </c>
      <c r="X31" s="5">
        <f t="shared" si="34"/>
        <v>2.4367518965975883E-3</v>
      </c>
      <c r="Y31" s="5">
        <f t="shared" si="35"/>
        <v>2.4367526786082975E-3</v>
      </c>
      <c r="Z31" s="5">
        <f t="shared" si="36"/>
        <v>-7.8201070922642724E-10</v>
      </c>
      <c r="AB31" s="120"/>
      <c r="AC31" s="120" t="str">
        <f t="shared" si="37"/>
        <v/>
      </c>
      <c r="AD31" s="120" t="str">
        <f t="shared" si="38"/>
        <v/>
      </c>
      <c r="AE31" s="120" t="str">
        <f t="shared" si="39"/>
        <v/>
      </c>
      <c r="AF31" s="120" t="str">
        <f t="shared" si="40"/>
        <v/>
      </c>
      <c r="AG31" s="120" t="str">
        <f t="shared" si="41"/>
        <v/>
      </c>
      <c r="AH31" s="120" t="str">
        <f t="shared" si="42"/>
        <v/>
      </c>
      <c r="AI31" s="120" t="str">
        <f t="shared" si="43"/>
        <v/>
      </c>
      <c r="AJ31" s="46" t="str">
        <f t="shared" si="44"/>
        <v/>
      </c>
      <c r="AK31" s="120" t="str">
        <f t="shared" si="45"/>
        <v/>
      </c>
      <c r="AL31" s="120" t="str">
        <f t="shared" si="46"/>
        <v/>
      </c>
      <c r="AM31" s="120" t="str">
        <f t="shared" si="47"/>
        <v/>
      </c>
      <c r="AN31" s="211">
        <v>0</v>
      </c>
      <c r="AP31" s="39">
        <f t="shared" si="0"/>
        <v>0.167433</v>
      </c>
      <c r="AQ31" s="39">
        <f t="shared" si="1"/>
        <v>0.53859500000000005</v>
      </c>
      <c r="AR31" s="39">
        <f t="shared" si="2"/>
        <v>-0.14937</v>
      </c>
      <c r="AS31" s="39">
        <f t="shared" si="3"/>
        <v>3.9154000000000001E-2</v>
      </c>
      <c r="AT31" s="39">
        <f t="shared" si="4"/>
        <v>-3.4399999999999999E-3</v>
      </c>
      <c r="AU31" s="39">
        <f t="shared" si="5"/>
        <v>1.16E-4</v>
      </c>
      <c r="AV31" s="39">
        <f t="shared" si="6"/>
        <v>0.29827119656243611</v>
      </c>
      <c r="AX31" s="157">
        <v>8.9</v>
      </c>
      <c r="AY31" s="120">
        <f t="shared" si="7"/>
        <v>0.17800000000000002</v>
      </c>
      <c r="AZ31" s="39">
        <f t="shared" si="8"/>
        <v>7.1815494710415637E-2</v>
      </c>
      <c r="BA31" s="118">
        <f t="shared" si="9"/>
        <v>0.2</v>
      </c>
      <c r="BB31" s="39">
        <f t="shared" si="48"/>
        <v>1.4363098942083128E-2</v>
      </c>
      <c r="BC31" s="39">
        <f t="shared" si="10"/>
        <v>0.11351519605413858</v>
      </c>
      <c r="BD31" s="39">
        <f t="shared" si="11"/>
        <v>0.19969378970663734</v>
      </c>
      <c r="BE31" s="39">
        <f t="shared" si="12"/>
        <v>0.7035261960287239</v>
      </c>
      <c r="BF31" s="39">
        <f t="shared" si="13"/>
        <v>0.72521998573536117</v>
      </c>
      <c r="BG31" s="39">
        <f t="shared" si="49"/>
        <v>0.72521998573536117</v>
      </c>
      <c r="BH31" s="39">
        <f t="shared" si="50"/>
        <v>0.45601665477946762</v>
      </c>
      <c r="BI31" s="39">
        <f t="shared" si="51"/>
        <v>0.60434998811280105</v>
      </c>
      <c r="BK31" s="129" t="str">
        <f t="shared" si="52"/>
        <v>0</v>
      </c>
      <c r="BL31" s="120" t="str">
        <f t="shared" si="53"/>
        <v>0</v>
      </c>
      <c r="BM31" s="120" t="str">
        <f t="shared" si="54"/>
        <v>No válido</v>
      </c>
      <c r="BN31" s="36"/>
      <c r="BO31" s="129" t="str">
        <f t="shared" si="14"/>
        <v>1</v>
      </c>
      <c r="BP31" s="120" t="str">
        <f t="shared" si="55"/>
        <v>0</v>
      </c>
      <c r="BQ31" s="120" t="str">
        <f t="shared" si="15"/>
        <v>0</v>
      </c>
      <c r="BR31" s="120" t="str">
        <f t="shared" si="16"/>
        <v>No válido</v>
      </c>
      <c r="BT31" s="129" t="str">
        <f t="shared" si="56"/>
        <v>0</v>
      </c>
      <c r="BU31" s="120" t="str">
        <f t="shared" si="57"/>
        <v>1</v>
      </c>
      <c r="BV31" s="120" t="str">
        <f t="shared" si="58"/>
        <v>No válido</v>
      </c>
      <c r="BX31" s="129" t="str">
        <f t="shared" si="59"/>
        <v>1</v>
      </c>
      <c r="BY31" s="129" t="str">
        <f t="shared" si="17"/>
        <v>0</v>
      </c>
      <c r="BZ31" s="27" t="str">
        <f t="shared" si="18"/>
        <v>1</v>
      </c>
      <c r="CA31" s="120" t="str">
        <f t="shared" si="60"/>
        <v>No válido</v>
      </c>
      <c r="CC31" s="129" t="str">
        <f t="shared" si="61"/>
        <v>1</v>
      </c>
      <c r="CD31" s="129" t="str">
        <f t="shared" si="19"/>
        <v>1</v>
      </c>
      <c r="CE31" s="129" t="str">
        <f t="shared" si="20"/>
        <v>0</v>
      </c>
      <c r="CF31" s="120" t="str">
        <f t="shared" si="62"/>
        <v>No válido</v>
      </c>
    </row>
    <row r="32" spans="1:84" x14ac:dyDescent="0.25">
      <c r="A32" s="150" t="s">
        <v>80</v>
      </c>
      <c r="D32" s="120">
        <v>22</v>
      </c>
      <c r="E32" s="24">
        <f>'Cálculos - Distintas Ecuaciones'!F37</f>
        <v>6360</v>
      </c>
      <c r="F32" s="39">
        <f>'Cálculos - Distintas Ecuaciones'!Z37+Cunetas!J85</f>
        <v>0.47046779611809642</v>
      </c>
      <c r="G32" s="50" t="str">
        <f t="shared" si="21"/>
        <v>1</v>
      </c>
      <c r="H32" s="120">
        <f t="shared" si="22"/>
        <v>2.4E-2</v>
      </c>
      <c r="I32" s="20">
        <f t="shared" si="23"/>
        <v>0.02</v>
      </c>
      <c r="J32" s="45">
        <v>1.2</v>
      </c>
      <c r="K32" s="67" t="str">
        <f t="shared" si="24"/>
        <v>Circular</v>
      </c>
      <c r="L32" s="45"/>
      <c r="M32" s="45"/>
      <c r="N32" s="5">
        <v>0.36615203665529866</v>
      </c>
      <c r="O32" s="5">
        <f t="shared" si="25"/>
        <v>2.3408798061011225</v>
      </c>
      <c r="P32" s="5">
        <f t="shared" si="26"/>
        <v>1.1051065650687903</v>
      </c>
      <c r="Q32" s="5">
        <f t="shared" si="27"/>
        <v>0.29214490533810433</v>
      </c>
      <c r="R32" s="5">
        <f t="shared" si="28"/>
        <v>1.4045278836606734</v>
      </c>
      <c r="S32" s="5">
        <f t="shared" si="29"/>
        <v>0.20800221108937772</v>
      </c>
      <c r="T32" s="117">
        <f t="shared" si="30"/>
        <v>1.000000002449237</v>
      </c>
      <c r="U32" s="5">
        <f t="shared" si="31"/>
        <v>1.6103919237394058</v>
      </c>
      <c r="V32" s="39">
        <f t="shared" si="32"/>
        <v>1.2120718984625476E-2</v>
      </c>
      <c r="W32" s="46" t="str">
        <f t="shared" si="33"/>
        <v>Aceptable</v>
      </c>
      <c r="X32" s="5">
        <f t="shared" si="34"/>
        <v>2.2562685747626782E-2</v>
      </c>
      <c r="Y32" s="5">
        <f t="shared" si="35"/>
        <v>2.2562685637104049E-2</v>
      </c>
      <c r="Z32" s="5">
        <f t="shared" si="36"/>
        <v>1.105227333264569E-10</v>
      </c>
      <c r="AB32" s="120"/>
      <c r="AC32" s="120" t="str">
        <f t="shared" si="37"/>
        <v/>
      </c>
      <c r="AD32" s="120" t="str">
        <f t="shared" si="38"/>
        <v/>
      </c>
      <c r="AE32" s="120" t="str">
        <f t="shared" si="39"/>
        <v/>
      </c>
      <c r="AF32" s="120" t="str">
        <f t="shared" si="40"/>
        <v/>
      </c>
      <c r="AG32" s="120" t="str">
        <f t="shared" si="41"/>
        <v/>
      </c>
      <c r="AH32" s="120" t="str">
        <f t="shared" si="42"/>
        <v/>
      </c>
      <c r="AI32" s="120" t="str">
        <f t="shared" si="43"/>
        <v/>
      </c>
      <c r="AJ32" s="46" t="str">
        <f t="shared" si="44"/>
        <v/>
      </c>
      <c r="AK32" s="120" t="str">
        <f t="shared" si="45"/>
        <v/>
      </c>
      <c r="AL32" s="120" t="str">
        <f t="shared" si="46"/>
        <v/>
      </c>
      <c r="AM32" s="120" t="str">
        <f t="shared" si="47"/>
        <v/>
      </c>
      <c r="AN32" s="211">
        <v>9</v>
      </c>
      <c r="AP32" s="39">
        <f t="shared" si="0"/>
        <v>0.167433</v>
      </c>
      <c r="AQ32" s="39">
        <f t="shared" si="1"/>
        <v>0.53859500000000005</v>
      </c>
      <c r="AR32" s="39">
        <f t="shared" si="2"/>
        <v>-0.14937</v>
      </c>
      <c r="AS32" s="39">
        <f t="shared" si="3"/>
        <v>3.9154000000000001E-2</v>
      </c>
      <c r="AT32" s="39">
        <f t="shared" si="4"/>
        <v>-3.4399999999999999E-3</v>
      </c>
      <c r="AU32" s="39">
        <f t="shared" si="5"/>
        <v>1.16E-4</v>
      </c>
      <c r="AV32" s="39">
        <f t="shared" si="6"/>
        <v>0.49282266106523243</v>
      </c>
      <c r="AX32" s="157">
        <v>9.9499999999999993</v>
      </c>
      <c r="AY32" s="120">
        <f t="shared" si="7"/>
        <v>0.19899999999999998</v>
      </c>
      <c r="AZ32" s="39">
        <f t="shared" si="8"/>
        <v>0.13217951824898594</v>
      </c>
      <c r="BA32" s="118">
        <f t="shared" si="9"/>
        <v>0.2</v>
      </c>
      <c r="BB32" s="39">
        <f t="shared" si="48"/>
        <v>2.6435903649797188E-2</v>
      </c>
      <c r="BC32" s="39">
        <f t="shared" si="10"/>
        <v>0.12060115389702349</v>
      </c>
      <c r="BD32" s="39">
        <f t="shared" si="11"/>
        <v>0.27921657579580661</v>
      </c>
      <c r="BE32" s="39">
        <f t="shared" si="12"/>
        <v>0.78307601832764928</v>
      </c>
      <c r="BF32" s="39">
        <f t="shared" si="13"/>
        <v>0.86329259412345605</v>
      </c>
      <c r="BG32" s="39">
        <f t="shared" si="49"/>
        <v>0.86329259412345605</v>
      </c>
      <c r="BH32" s="39">
        <f t="shared" si="50"/>
        <v>0.55357716176954674</v>
      </c>
      <c r="BI32" s="39">
        <f t="shared" si="51"/>
        <v>0.71941049510288002</v>
      </c>
      <c r="BK32" s="129" t="str">
        <f t="shared" si="52"/>
        <v>0</v>
      </c>
      <c r="BL32" s="120" t="str">
        <f t="shared" si="53"/>
        <v>0</v>
      </c>
      <c r="BM32" s="120" t="str">
        <f t="shared" si="54"/>
        <v>No válido</v>
      </c>
      <c r="BN32" s="36"/>
      <c r="BO32" s="129" t="str">
        <f t="shared" si="14"/>
        <v>1</v>
      </c>
      <c r="BP32" s="120" t="str">
        <f t="shared" si="55"/>
        <v>0</v>
      </c>
      <c r="BQ32" s="120" t="str">
        <f t="shared" si="15"/>
        <v>0</v>
      </c>
      <c r="BR32" s="120" t="str">
        <f t="shared" si="16"/>
        <v>No válido</v>
      </c>
      <c r="BT32" s="129" t="str">
        <f t="shared" si="56"/>
        <v>0</v>
      </c>
      <c r="BU32" s="120" t="str">
        <f t="shared" si="57"/>
        <v>1</v>
      </c>
      <c r="BV32" s="120" t="str">
        <f t="shared" si="58"/>
        <v>No válido</v>
      </c>
      <c r="BX32" s="129" t="str">
        <f t="shared" si="59"/>
        <v>1</v>
      </c>
      <c r="BY32" s="129" t="str">
        <f t="shared" si="17"/>
        <v>0</v>
      </c>
      <c r="BZ32" s="27" t="str">
        <f t="shared" si="18"/>
        <v>1</v>
      </c>
      <c r="CA32" s="120" t="str">
        <f t="shared" si="60"/>
        <v>No válido</v>
      </c>
      <c r="CC32" s="129" t="str">
        <f t="shared" si="61"/>
        <v>1</v>
      </c>
      <c r="CD32" s="129" t="str">
        <f t="shared" si="19"/>
        <v>1</v>
      </c>
      <c r="CE32" s="129" t="str">
        <f t="shared" si="20"/>
        <v>0</v>
      </c>
      <c r="CF32" s="120" t="str">
        <f t="shared" si="62"/>
        <v>No válido</v>
      </c>
    </row>
    <row r="33" spans="1:84" x14ac:dyDescent="0.25">
      <c r="A33" s="95" t="s">
        <v>80</v>
      </c>
      <c r="D33" s="120">
        <v>23</v>
      </c>
      <c r="E33" s="24">
        <f>'Cálculos - Distintas Ecuaciones'!F38</f>
        <v>6623.4</v>
      </c>
      <c r="F33" s="39">
        <f>'Cálculos - Distintas Ecuaciones'!Z38+Cunetas!J86+Cunetas!J87</f>
        <v>0.28854944763732221</v>
      </c>
      <c r="G33" s="50" t="str">
        <f t="shared" si="21"/>
        <v>1</v>
      </c>
      <c r="H33" s="120">
        <f t="shared" si="22"/>
        <v>2.4E-2</v>
      </c>
      <c r="I33" s="20">
        <f t="shared" si="23"/>
        <v>0.02</v>
      </c>
      <c r="J33" s="45">
        <v>1.2</v>
      </c>
      <c r="K33" s="67" t="str">
        <f t="shared" si="24"/>
        <v>Circular</v>
      </c>
      <c r="L33" s="45"/>
      <c r="M33" s="45"/>
      <c r="N33" s="5">
        <v>0.28475498113746506</v>
      </c>
      <c r="O33" s="5">
        <f t="shared" si="25"/>
        <v>2.0352026713925495</v>
      </c>
      <c r="P33" s="5">
        <f t="shared" si="26"/>
        <v>1.0210202311068277</v>
      </c>
      <c r="Q33" s="5">
        <f t="shared" si="27"/>
        <v>0.20540070984350803</v>
      </c>
      <c r="R33" s="5">
        <f t="shared" si="28"/>
        <v>1.2211216028355296</v>
      </c>
      <c r="S33" s="5">
        <f t="shared" si="29"/>
        <v>0.16820659741548527</v>
      </c>
      <c r="T33" s="117">
        <f t="shared" si="30"/>
        <v>1.0000000164816762</v>
      </c>
      <c r="U33" s="5">
        <f t="shared" si="31"/>
        <v>1.4048123195735986</v>
      </c>
      <c r="V33" s="39">
        <f t="shared" si="32"/>
        <v>1.2242451628332752E-2</v>
      </c>
      <c r="W33" s="46" t="str">
        <f t="shared" si="33"/>
        <v>Aceptable</v>
      </c>
      <c r="X33" s="5">
        <f t="shared" si="34"/>
        <v>8.4873377912134292E-3</v>
      </c>
      <c r="Y33" s="5">
        <f t="shared" si="35"/>
        <v>8.4873375114423288E-3</v>
      </c>
      <c r="Z33" s="5">
        <f t="shared" si="36"/>
        <v>2.797711003837966E-10</v>
      </c>
      <c r="AB33" s="120"/>
      <c r="AC33" s="120" t="str">
        <f t="shared" si="37"/>
        <v/>
      </c>
      <c r="AD33" s="120" t="str">
        <f t="shared" si="38"/>
        <v/>
      </c>
      <c r="AE33" s="120" t="str">
        <f t="shared" si="39"/>
        <v/>
      </c>
      <c r="AF33" s="120" t="str">
        <f t="shared" si="40"/>
        <v/>
      </c>
      <c r="AG33" s="120" t="str">
        <f t="shared" si="41"/>
        <v/>
      </c>
      <c r="AH33" s="120" t="str">
        <f t="shared" si="42"/>
        <v/>
      </c>
      <c r="AI33" s="120" t="str">
        <f t="shared" si="43"/>
        <v/>
      </c>
      <c r="AJ33" s="46" t="str">
        <f t="shared" si="44"/>
        <v/>
      </c>
      <c r="AK33" s="120" t="str">
        <f t="shared" si="45"/>
        <v/>
      </c>
      <c r="AL33" s="120" t="str">
        <f t="shared" si="46"/>
        <v/>
      </c>
      <c r="AM33" s="120" t="str">
        <f t="shared" si="47"/>
        <v/>
      </c>
      <c r="AN33" s="211">
        <v>10</v>
      </c>
      <c r="AP33" s="39">
        <f t="shared" si="0"/>
        <v>0.167433</v>
      </c>
      <c r="AQ33" s="39">
        <f t="shared" si="1"/>
        <v>0.53859500000000005</v>
      </c>
      <c r="AR33" s="39">
        <f t="shared" si="2"/>
        <v>-0.14937</v>
      </c>
      <c r="AS33" s="39">
        <f t="shared" si="3"/>
        <v>3.9154000000000001E-2</v>
      </c>
      <c r="AT33" s="39">
        <f t="shared" si="4"/>
        <v>-3.4399999999999999E-3</v>
      </c>
      <c r="AU33" s="39">
        <f t="shared" si="5"/>
        <v>1.16E-4</v>
      </c>
      <c r="AV33" s="39">
        <f t="shared" si="6"/>
        <v>0.38504482695119868</v>
      </c>
      <c r="AX33" s="157">
        <v>18.100000000000001</v>
      </c>
      <c r="AY33" s="120">
        <f t="shared" si="7"/>
        <v>0.36200000000000004</v>
      </c>
      <c r="AZ33" s="39">
        <f t="shared" si="8"/>
        <v>0.10058601698398341</v>
      </c>
      <c r="BA33" s="118">
        <f t="shared" si="9"/>
        <v>0.2</v>
      </c>
      <c r="BB33" s="39">
        <f t="shared" si="48"/>
        <v>2.0117203396796682E-2</v>
      </c>
      <c r="BC33" s="39">
        <f t="shared" si="10"/>
        <v>0.22158837447282276</v>
      </c>
      <c r="BD33" s="39">
        <f t="shared" si="11"/>
        <v>0.34229159485360283</v>
      </c>
      <c r="BE33" s="39">
        <f t="shared" si="12"/>
        <v>0.74237749056873248</v>
      </c>
      <c r="BF33" s="39">
        <f t="shared" si="13"/>
        <v>0.72266908542233521</v>
      </c>
      <c r="BG33" s="39">
        <f t="shared" si="49"/>
        <v>0.72266908542233521</v>
      </c>
      <c r="BH33" s="39">
        <f t="shared" si="50"/>
        <v>0.30055757118527932</v>
      </c>
      <c r="BI33" s="39">
        <f t="shared" si="51"/>
        <v>0.60222423785194601</v>
      </c>
      <c r="BK33" s="129" t="str">
        <f t="shared" si="52"/>
        <v>0</v>
      </c>
      <c r="BL33" s="120" t="str">
        <f t="shared" si="53"/>
        <v>0</v>
      </c>
      <c r="BM33" s="120" t="str">
        <f t="shared" si="54"/>
        <v>No válido</v>
      </c>
      <c r="BN33" s="36"/>
      <c r="BO33" s="129" t="str">
        <f t="shared" si="14"/>
        <v>1</v>
      </c>
      <c r="BP33" s="120" t="str">
        <f t="shared" si="55"/>
        <v>0</v>
      </c>
      <c r="BQ33" s="120" t="str">
        <f t="shared" si="15"/>
        <v>0</v>
      </c>
      <c r="BR33" s="120" t="str">
        <f t="shared" si="16"/>
        <v>No válido</v>
      </c>
      <c r="BT33" s="129" t="str">
        <f t="shared" si="56"/>
        <v>0</v>
      </c>
      <c r="BU33" s="120" t="str">
        <f t="shared" si="57"/>
        <v>1</v>
      </c>
      <c r="BV33" s="120" t="str">
        <f t="shared" si="58"/>
        <v>No válido</v>
      </c>
      <c r="BX33" s="129" t="str">
        <f t="shared" si="59"/>
        <v>1</v>
      </c>
      <c r="BY33" s="129" t="str">
        <f t="shared" si="17"/>
        <v>0</v>
      </c>
      <c r="BZ33" s="27" t="str">
        <f t="shared" si="18"/>
        <v>1</v>
      </c>
      <c r="CA33" s="120" t="str">
        <f t="shared" si="60"/>
        <v>No válido</v>
      </c>
      <c r="CC33" s="129" t="str">
        <f t="shared" si="61"/>
        <v>1</v>
      </c>
      <c r="CD33" s="129" t="str">
        <f t="shared" si="19"/>
        <v>1</v>
      </c>
      <c r="CE33" s="129" t="str">
        <f t="shared" si="20"/>
        <v>0</v>
      </c>
      <c r="CF33" s="120" t="str">
        <f t="shared" si="62"/>
        <v>No válido</v>
      </c>
    </row>
    <row r="34" spans="1:84" x14ac:dyDescent="0.25">
      <c r="A34" s="150" t="s">
        <v>80</v>
      </c>
      <c r="B34" t="s">
        <v>305</v>
      </c>
      <c r="D34" s="120">
        <v>24</v>
      </c>
      <c r="E34" s="24">
        <f>'Cálculos - Distintas Ecuaciones'!F39</f>
        <v>6794</v>
      </c>
      <c r="F34" s="39">
        <f>'Cálculos - Distintas Ecuaciones'!Z39+Cunetas!J88</f>
        <v>0.15913597490837553</v>
      </c>
      <c r="G34" s="50" t="str">
        <f t="shared" si="21"/>
        <v>1</v>
      </c>
      <c r="H34" s="120">
        <f t="shared" si="22"/>
        <v>2.4E-2</v>
      </c>
      <c r="I34" s="20">
        <f t="shared" si="23"/>
        <v>0.02</v>
      </c>
      <c r="J34" s="45">
        <v>1.2</v>
      </c>
      <c r="K34" s="67" t="str">
        <f t="shared" si="24"/>
        <v>Circular</v>
      </c>
      <c r="L34" s="45"/>
      <c r="M34" s="45"/>
      <c r="N34" s="5">
        <v>0.2101156816443526</v>
      </c>
      <c r="O34" s="5">
        <f t="shared" si="25"/>
        <v>1.7269311446594144</v>
      </c>
      <c r="P34" s="5">
        <f t="shared" si="26"/>
        <v>0.91211889203184937</v>
      </c>
      <c r="Q34" s="5">
        <f t="shared" si="27"/>
        <v>0.13303717979912161</v>
      </c>
      <c r="R34" s="5">
        <f t="shared" si="28"/>
        <v>1.0361586867956487</v>
      </c>
      <c r="S34" s="5">
        <f t="shared" si="29"/>
        <v>0.12839459968293371</v>
      </c>
      <c r="T34" s="117">
        <f t="shared" si="30"/>
        <v>1.0000001061172041</v>
      </c>
      <c r="U34" s="5">
        <f t="shared" si="31"/>
        <v>1.1961767014954885</v>
      </c>
      <c r="V34" s="39">
        <f t="shared" si="32"/>
        <v>1.2723819075102056E-2</v>
      </c>
      <c r="W34" s="46" t="str">
        <f t="shared" si="33"/>
        <v>Aceptable</v>
      </c>
      <c r="X34" s="5">
        <f t="shared" si="34"/>
        <v>2.581473854234365E-3</v>
      </c>
      <c r="Y34" s="5">
        <f t="shared" si="35"/>
        <v>2.5814733063568751E-3</v>
      </c>
      <c r="Z34" s="5">
        <f t="shared" si="36"/>
        <v>5.4787748990370311E-10</v>
      </c>
      <c r="AB34" s="120"/>
      <c r="AC34" s="120" t="str">
        <f t="shared" si="37"/>
        <v/>
      </c>
      <c r="AD34" s="120" t="str">
        <f t="shared" si="38"/>
        <v/>
      </c>
      <c r="AE34" s="120" t="str">
        <f t="shared" si="39"/>
        <v/>
      </c>
      <c r="AF34" s="120" t="str">
        <f t="shared" si="40"/>
        <v/>
      </c>
      <c r="AG34" s="120" t="str">
        <f t="shared" si="41"/>
        <v/>
      </c>
      <c r="AH34" s="120" t="str">
        <f t="shared" si="42"/>
        <v/>
      </c>
      <c r="AI34" s="120" t="str">
        <f t="shared" si="43"/>
        <v/>
      </c>
      <c r="AJ34" s="46" t="str">
        <f t="shared" si="44"/>
        <v/>
      </c>
      <c r="AK34" s="120" t="str">
        <f t="shared" si="45"/>
        <v/>
      </c>
      <c r="AL34" s="120" t="str">
        <f t="shared" si="46"/>
        <v/>
      </c>
      <c r="AM34" s="120" t="str">
        <f t="shared" si="47"/>
        <v/>
      </c>
      <c r="AN34" s="211">
        <v>12</v>
      </c>
      <c r="AP34" s="39">
        <f t="shared" si="0"/>
        <v>0.167433</v>
      </c>
      <c r="AQ34" s="39">
        <f t="shared" si="1"/>
        <v>0.53859500000000005</v>
      </c>
      <c r="AR34" s="39">
        <f t="shared" si="2"/>
        <v>-0.14937</v>
      </c>
      <c r="AS34" s="39">
        <f t="shared" si="3"/>
        <v>3.9154000000000001E-2</v>
      </c>
      <c r="AT34" s="39">
        <f t="shared" si="4"/>
        <v>-3.4399999999999999E-3</v>
      </c>
      <c r="AU34" s="39">
        <f t="shared" si="5"/>
        <v>1.16E-4</v>
      </c>
      <c r="AV34" s="39">
        <f t="shared" si="6"/>
        <v>0.3013171411196911</v>
      </c>
      <c r="AX34" s="157">
        <v>10.25</v>
      </c>
      <c r="AY34" s="120">
        <f t="shared" si="7"/>
        <v>0.20500000000000002</v>
      </c>
      <c r="AZ34" s="39">
        <f t="shared" si="8"/>
        <v>7.2927558674853565E-2</v>
      </c>
      <c r="BA34" s="118">
        <f t="shared" si="9"/>
        <v>0.2</v>
      </c>
      <c r="BB34" s="39">
        <f t="shared" si="48"/>
        <v>1.4585511734970713E-2</v>
      </c>
      <c r="BC34" s="39">
        <f t="shared" si="10"/>
        <v>0.13041914551979608</v>
      </c>
      <c r="BD34" s="39">
        <f t="shared" si="11"/>
        <v>0.21793221592962037</v>
      </c>
      <c r="BE34" s="39">
        <f t="shared" si="12"/>
        <v>0.70505784082217626</v>
      </c>
      <c r="BF34" s="39">
        <f t="shared" si="13"/>
        <v>0.7179900567517965</v>
      </c>
      <c r="BG34" s="39">
        <f t="shared" si="49"/>
        <v>0.7179900567517965</v>
      </c>
      <c r="BH34" s="39">
        <f t="shared" si="50"/>
        <v>0.42749171395983038</v>
      </c>
      <c r="BI34" s="39">
        <f t="shared" si="51"/>
        <v>0.59832504729316383</v>
      </c>
      <c r="BK34" s="129" t="str">
        <f t="shared" si="52"/>
        <v>0</v>
      </c>
      <c r="BL34" s="120" t="str">
        <f t="shared" si="53"/>
        <v>0</v>
      </c>
      <c r="BM34" s="120" t="str">
        <f t="shared" si="54"/>
        <v>No válido</v>
      </c>
      <c r="BN34" s="36"/>
      <c r="BO34" s="129" t="str">
        <f t="shared" si="14"/>
        <v>1</v>
      </c>
      <c r="BP34" s="120" t="str">
        <f t="shared" si="55"/>
        <v>0</v>
      </c>
      <c r="BQ34" s="120" t="str">
        <f t="shared" si="15"/>
        <v>0</v>
      </c>
      <c r="BR34" s="120" t="str">
        <f t="shared" si="16"/>
        <v>No válido</v>
      </c>
      <c r="BT34" s="129" t="str">
        <f t="shared" si="56"/>
        <v>0</v>
      </c>
      <c r="BU34" s="120" t="str">
        <f t="shared" si="57"/>
        <v>1</v>
      </c>
      <c r="BV34" s="120" t="str">
        <f t="shared" si="58"/>
        <v>No válido</v>
      </c>
      <c r="BX34" s="129" t="str">
        <f t="shared" si="59"/>
        <v>1</v>
      </c>
      <c r="BY34" s="129" t="str">
        <f t="shared" si="17"/>
        <v>0</v>
      </c>
      <c r="BZ34" s="27" t="str">
        <f t="shared" si="18"/>
        <v>1</v>
      </c>
      <c r="CA34" s="120" t="str">
        <f t="shared" si="60"/>
        <v>No válido</v>
      </c>
      <c r="CC34" s="129" t="str">
        <f t="shared" si="61"/>
        <v>1</v>
      </c>
      <c r="CD34" s="129" t="str">
        <f t="shared" si="19"/>
        <v>1</v>
      </c>
      <c r="CE34" s="129" t="str">
        <f t="shared" si="20"/>
        <v>0</v>
      </c>
      <c r="CF34" s="120" t="str">
        <f t="shared" si="62"/>
        <v>No válido</v>
      </c>
    </row>
    <row r="35" spans="1:84" x14ac:dyDescent="0.25">
      <c r="A35" s="150" t="s">
        <v>162</v>
      </c>
      <c r="D35" s="120">
        <v>25</v>
      </c>
      <c r="E35" s="24">
        <f>'Cálculos - Distintas Ecuaciones'!F40</f>
        <v>7225</v>
      </c>
      <c r="F35" s="39">
        <f>'Cálculos - Distintas Ecuaciones'!Z40+Cunetas!J89+Cunetas!J90</f>
        <v>0.1867360908435528</v>
      </c>
      <c r="G35" s="50" t="str">
        <f t="shared" si="21"/>
        <v>1</v>
      </c>
      <c r="H35" s="120">
        <f t="shared" si="22"/>
        <v>2.4E-2</v>
      </c>
      <c r="I35" s="20">
        <f t="shared" si="23"/>
        <v>0.02</v>
      </c>
      <c r="J35" s="45">
        <v>1.2</v>
      </c>
      <c r="K35" s="67" t="str">
        <f t="shared" si="24"/>
        <v>Circular</v>
      </c>
      <c r="L35" s="45"/>
      <c r="M35" s="45"/>
      <c r="N35" s="5">
        <v>0.22795749816849958</v>
      </c>
      <c r="O35" s="5">
        <f t="shared" si="25"/>
        <v>1.8039266742828424</v>
      </c>
      <c r="P35" s="5">
        <f t="shared" si="26"/>
        <v>0.94145499484777906</v>
      </c>
      <c r="Q35" s="5">
        <f t="shared" si="27"/>
        <v>0.14957616554844655</v>
      </c>
      <c r="R35" s="5">
        <f t="shared" si="28"/>
        <v>1.0823560045697054</v>
      </c>
      <c r="S35" s="5">
        <f t="shared" si="29"/>
        <v>0.13819497920918461</v>
      </c>
      <c r="T35" s="117">
        <f t="shared" si="30"/>
        <v>0.99999987959778502</v>
      </c>
      <c r="U35" s="5">
        <f t="shared" si="31"/>
        <v>1.2484348034919404</v>
      </c>
      <c r="V35" s="39">
        <f t="shared" si="32"/>
        <v>1.2565058980133329E-2</v>
      </c>
      <c r="W35" s="46" t="str">
        <f t="shared" si="33"/>
        <v>Aceptable</v>
      </c>
      <c r="X35" s="5">
        <f t="shared" si="34"/>
        <v>3.5545736619298275E-3</v>
      </c>
      <c r="Y35" s="5">
        <f t="shared" si="35"/>
        <v>3.5545745178870648E-3</v>
      </c>
      <c r="Z35" s="5">
        <f t="shared" si="36"/>
        <v>-8.5595723738063345E-10</v>
      </c>
      <c r="AB35" s="120"/>
      <c r="AC35" s="120" t="str">
        <f t="shared" si="37"/>
        <v/>
      </c>
      <c r="AD35" s="120" t="str">
        <f t="shared" si="38"/>
        <v/>
      </c>
      <c r="AE35" s="120" t="str">
        <f t="shared" si="39"/>
        <v/>
      </c>
      <c r="AF35" s="120" t="str">
        <f t="shared" si="40"/>
        <v/>
      </c>
      <c r="AG35" s="120" t="str">
        <f t="shared" si="41"/>
        <v/>
      </c>
      <c r="AH35" s="120" t="str">
        <f t="shared" si="42"/>
        <v/>
      </c>
      <c r="AI35" s="120" t="str">
        <f t="shared" si="43"/>
        <v/>
      </c>
      <c r="AJ35" s="46" t="str">
        <f t="shared" si="44"/>
        <v/>
      </c>
      <c r="AK35" s="120" t="str">
        <f t="shared" si="45"/>
        <v/>
      </c>
      <c r="AL35" s="120" t="str">
        <f t="shared" si="46"/>
        <v/>
      </c>
      <c r="AM35" s="120" t="str">
        <f t="shared" si="47"/>
        <v/>
      </c>
      <c r="AN35" s="211">
        <v>-6</v>
      </c>
      <c r="AP35" s="39">
        <f t="shared" si="0"/>
        <v>0.167433</v>
      </c>
      <c r="AQ35" s="39">
        <f t="shared" si="1"/>
        <v>0.53859500000000005</v>
      </c>
      <c r="AR35" s="39">
        <f t="shared" si="2"/>
        <v>-0.14937</v>
      </c>
      <c r="AS35" s="39">
        <f t="shared" si="3"/>
        <v>3.9154000000000001E-2</v>
      </c>
      <c r="AT35" s="39">
        <f t="shared" si="4"/>
        <v>-3.4399999999999999E-3</v>
      </c>
      <c r="AU35" s="39">
        <f t="shared" si="5"/>
        <v>1.16E-4</v>
      </c>
      <c r="AV35" s="39">
        <f t="shared" si="6"/>
        <v>0.31971653330170346</v>
      </c>
      <c r="AX35" s="157">
        <v>12.95</v>
      </c>
      <c r="AY35" s="120">
        <f t="shared" si="7"/>
        <v>0.25900000000000001</v>
      </c>
      <c r="AZ35" s="39">
        <f t="shared" si="8"/>
        <v>7.9438810324666653E-2</v>
      </c>
      <c r="BA35" s="118">
        <f t="shared" si="9"/>
        <v>0.2</v>
      </c>
      <c r="BB35" s="39">
        <f t="shared" si="48"/>
        <v>1.5887762064933333E-2</v>
      </c>
      <c r="BC35" s="39">
        <f t="shared" si="10"/>
        <v>0.16271751379272656</v>
      </c>
      <c r="BD35" s="39">
        <f t="shared" si="11"/>
        <v>0.25804408618232655</v>
      </c>
      <c r="BE35" s="39">
        <f t="shared" si="12"/>
        <v>0.71397874908424974</v>
      </c>
      <c r="BF35" s="39">
        <f t="shared" si="13"/>
        <v>0.71302283526657628</v>
      </c>
      <c r="BG35" s="39">
        <f t="shared" si="49"/>
        <v>0.71302283526657628</v>
      </c>
      <c r="BH35" s="39">
        <f t="shared" si="50"/>
        <v>0.3783523627221469</v>
      </c>
      <c r="BI35" s="39">
        <f t="shared" si="51"/>
        <v>0.59418569605548022</v>
      </c>
      <c r="BK35" s="129" t="str">
        <f t="shared" si="52"/>
        <v>0</v>
      </c>
      <c r="BL35" s="120" t="str">
        <f t="shared" si="53"/>
        <v>0</v>
      </c>
      <c r="BM35" s="120" t="str">
        <f t="shared" si="54"/>
        <v>No válido</v>
      </c>
      <c r="BN35" s="36"/>
      <c r="BO35" s="129" t="str">
        <f t="shared" si="14"/>
        <v>1</v>
      </c>
      <c r="BP35" s="120" t="str">
        <f t="shared" si="55"/>
        <v>0</v>
      </c>
      <c r="BQ35" s="120" t="str">
        <f t="shared" si="15"/>
        <v>0</v>
      </c>
      <c r="BR35" s="120" t="str">
        <f t="shared" si="16"/>
        <v>No válido</v>
      </c>
      <c r="BT35" s="129" t="str">
        <f t="shared" si="56"/>
        <v>0</v>
      </c>
      <c r="BU35" s="120" t="str">
        <f t="shared" si="57"/>
        <v>1</v>
      </c>
      <c r="BV35" s="120" t="str">
        <f t="shared" si="58"/>
        <v>No válido</v>
      </c>
      <c r="BX35" s="129" t="str">
        <f t="shared" si="59"/>
        <v>1</v>
      </c>
      <c r="BY35" s="129" t="str">
        <f t="shared" si="17"/>
        <v>0</v>
      </c>
      <c r="BZ35" s="27" t="str">
        <f t="shared" si="18"/>
        <v>1</v>
      </c>
      <c r="CA35" s="120" t="str">
        <f t="shared" si="60"/>
        <v>No válido</v>
      </c>
      <c r="CC35" s="129" t="str">
        <f t="shared" si="61"/>
        <v>1</v>
      </c>
      <c r="CD35" s="129" t="str">
        <f t="shared" si="19"/>
        <v>1</v>
      </c>
      <c r="CE35" s="129" t="str">
        <f t="shared" si="20"/>
        <v>0</v>
      </c>
      <c r="CF35" s="120" t="str">
        <f t="shared" si="62"/>
        <v>No válido</v>
      </c>
    </row>
    <row r="36" spans="1:84" x14ac:dyDescent="0.25">
      <c r="A36" s="150" t="s">
        <v>78</v>
      </c>
      <c r="D36" s="120">
        <v>26</v>
      </c>
      <c r="E36" s="24">
        <f>'Cálculos - Distintas Ecuaciones'!F41</f>
        <v>7435</v>
      </c>
      <c r="F36" s="39">
        <f>'Cálculos - Distintas Ecuaciones'!Z41+Cunetas!J91+Cunetas!J92+Cunetas!J93+Cunetas!J94+Cunetas!J95</f>
        <v>9.5040241050525276E-2</v>
      </c>
      <c r="G36" s="50" t="str">
        <f t="shared" si="21"/>
        <v>1</v>
      </c>
      <c r="H36" s="120">
        <f t="shared" si="22"/>
        <v>2.4E-2</v>
      </c>
      <c r="I36" s="20">
        <f t="shared" si="23"/>
        <v>0.02</v>
      </c>
      <c r="J36" s="45">
        <v>1.2</v>
      </c>
      <c r="K36" s="67" t="str">
        <f t="shared" si="24"/>
        <v>Circular</v>
      </c>
      <c r="L36" s="45"/>
      <c r="M36" s="45"/>
      <c r="N36" s="5">
        <v>0.16170644911512841</v>
      </c>
      <c r="O36" s="5">
        <f t="shared" si="25"/>
        <v>1.5035164873479006</v>
      </c>
      <c r="P36" s="5">
        <f t="shared" si="26"/>
        <v>0.81950903168355738</v>
      </c>
      <c r="Q36" s="5">
        <f t="shared" si="27"/>
        <v>9.1040205983217534E-2</v>
      </c>
      <c r="R36" s="5">
        <f t="shared" si="28"/>
        <v>0.90210989240874029</v>
      </c>
      <c r="S36" s="5">
        <f t="shared" si="29"/>
        <v>0.10091919703943097</v>
      </c>
      <c r="T36" s="117">
        <f t="shared" si="30"/>
        <v>1.0000001152751121</v>
      </c>
      <c r="U36" s="5">
        <f t="shared" si="31"/>
        <v>1.0439370168829045</v>
      </c>
      <c r="V36" s="39">
        <f t="shared" si="32"/>
        <v>1.3359986823985979E-2</v>
      </c>
      <c r="W36" s="46" t="str">
        <f t="shared" si="33"/>
        <v>Aceptable</v>
      </c>
      <c r="X36" s="5">
        <f t="shared" si="34"/>
        <v>9.2075916604912838E-4</v>
      </c>
      <c r="Y36" s="5">
        <f t="shared" si="35"/>
        <v>9.2075895376793251E-4</v>
      </c>
      <c r="Z36" s="5">
        <f t="shared" si="36"/>
        <v>2.1228119587678174E-10</v>
      </c>
      <c r="AB36" s="120"/>
      <c r="AC36" s="120" t="str">
        <f t="shared" si="37"/>
        <v/>
      </c>
      <c r="AD36" s="120" t="str">
        <f t="shared" si="38"/>
        <v/>
      </c>
      <c r="AE36" s="120" t="str">
        <f t="shared" si="39"/>
        <v/>
      </c>
      <c r="AF36" s="120" t="str">
        <f t="shared" si="40"/>
        <v/>
      </c>
      <c r="AG36" s="120" t="str">
        <f t="shared" si="41"/>
        <v/>
      </c>
      <c r="AH36" s="120" t="str">
        <f t="shared" si="42"/>
        <v/>
      </c>
      <c r="AI36" s="120" t="str">
        <f t="shared" si="43"/>
        <v/>
      </c>
      <c r="AJ36" s="46" t="str">
        <f t="shared" si="44"/>
        <v/>
      </c>
      <c r="AK36" s="120" t="str">
        <f t="shared" si="45"/>
        <v/>
      </c>
      <c r="AL36" s="120" t="str">
        <f t="shared" si="46"/>
        <v/>
      </c>
      <c r="AM36" s="120" t="str">
        <f t="shared" si="47"/>
        <v/>
      </c>
      <c r="AN36" s="211">
        <v>14</v>
      </c>
      <c r="AP36" s="39">
        <f t="shared" si="0"/>
        <v>0.167433</v>
      </c>
      <c r="AQ36" s="39">
        <f t="shared" si="1"/>
        <v>0.53859500000000005</v>
      </c>
      <c r="AR36" s="39">
        <f t="shared" si="2"/>
        <v>-0.14937</v>
      </c>
      <c r="AS36" s="39">
        <f t="shared" si="3"/>
        <v>3.9154000000000001E-2</v>
      </c>
      <c r="AT36" s="39">
        <f t="shared" si="4"/>
        <v>-3.4399999999999999E-3</v>
      </c>
      <c r="AU36" s="39">
        <f t="shared" si="5"/>
        <v>1.16E-4</v>
      </c>
      <c r="AV36" s="39">
        <f t="shared" si="6"/>
        <v>0.25737807230217025</v>
      </c>
      <c r="AX36" s="157">
        <v>9.9</v>
      </c>
      <c r="AY36" s="120">
        <f t="shared" si="7"/>
        <v>0.19800000000000001</v>
      </c>
      <c r="AZ36" s="39">
        <f t="shared" si="8"/>
        <v>5.5545590989723628E-2</v>
      </c>
      <c r="BA36" s="118">
        <f t="shared" si="9"/>
        <v>0.2</v>
      </c>
      <c r="BB36" s="39">
        <f t="shared" si="48"/>
        <v>1.1109118197944726E-2</v>
      </c>
      <c r="BC36" s="39">
        <f t="shared" si="10"/>
        <v>0.13226386955746119</v>
      </c>
      <c r="BD36" s="39">
        <f t="shared" si="11"/>
        <v>0.19891857874512955</v>
      </c>
      <c r="BE36" s="39">
        <f t="shared" si="12"/>
        <v>0.68085322455756414</v>
      </c>
      <c r="BF36" s="39">
        <f t="shared" si="13"/>
        <v>0.6817718033026936</v>
      </c>
      <c r="BG36" s="39">
        <f t="shared" si="49"/>
        <v>0.6817718033026936</v>
      </c>
      <c r="BH36" s="39">
        <f t="shared" si="50"/>
        <v>0.40314316941891132</v>
      </c>
      <c r="BI36" s="39">
        <f t="shared" si="51"/>
        <v>0.56814316941891141</v>
      </c>
      <c r="BK36" s="129" t="str">
        <f t="shared" si="52"/>
        <v>0</v>
      </c>
      <c r="BL36" s="120" t="str">
        <f t="shared" si="53"/>
        <v>0</v>
      </c>
      <c r="BM36" s="120" t="str">
        <f t="shared" si="54"/>
        <v>No válido</v>
      </c>
      <c r="BN36" s="36"/>
      <c r="BO36" s="129" t="str">
        <f t="shared" si="14"/>
        <v>1</v>
      </c>
      <c r="BP36" s="120" t="str">
        <f t="shared" si="55"/>
        <v>0</v>
      </c>
      <c r="BQ36" s="120" t="str">
        <f t="shared" si="15"/>
        <v>0</v>
      </c>
      <c r="BR36" s="120" t="str">
        <f t="shared" si="16"/>
        <v>No válido</v>
      </c>
      <c r="BT36" s="129" t="str">
        <f t="shared" si="56"/>
        <v>0</v>
      </c>
      <c r="BU36" s="120" t="str">
        <f t="shared" si="57"/>
        <v>1</v>
      </c>
      <c r="BV36" s="120" t="str">
        <f t="shared" si="58"/>
        <v>No válido</v>
      </c>
      <c r="BX36" s="129" t="str">
        <f t="shared" si="59"/>
        <v>1</v>
      </c>
      <c r="BY36" s="129" t="str">
        <f t="shared" si="17"/>
        <v>0</v>
      </c>
      <c r="BZ36" s="27" t="str">
        <f t="shared" si="18"/>
        <v>1</v>
      </c>
      <c r="CA36" s="120" t="str">
        <f t="shared" si="60"/>
        <v>No válido</v>
      </c>
      <c r="CC36" s="129" t="str">
        <f t="shared" si="61"/>
        <v>1</v>
      </c>
      <c r="CD36" s="129" t="str">
        <f t="shared" si="19"/>
        <v>1</v>
      </c>
      <c r="CE36" s="129" t="str">
        <f t="shared" si="20"/>
        <v>0</v>
      </c>
      <c r="CF36" s="120" t="str">
        <f t="shared" si="62"/>
        <v>No válido</v>
      </c>
    </row>
    <row r="37" spans="1:84" x14ac:dyDescent="0.25">
      <c r="A37" s="150" t="s">
        <v>162</v>
      </c>
      <c r="D37" s="120">
        <v>27</v>
      </c>
      <c r="E37" s="24">
        <f>'Cálculos - Distintas Ecuaciones'!F42</f>
        <v>7615</v>
      </c>
      <c r="F37" s="39">
        <f>'Cálculos - Distintas Ecuaciones'!Z42+Cunetas!J96</f>
        <v>3.9582875513648537E-2</v>
      </c>
      <c r="G37" s="50" t="str">
        <f t="shared" si="21"/>
        <v>1</v>
      </c>
      <c r="H37" s="120">
        <f t="shared" si="22"/>
        <v>2.4E-2</v>
      </c>
      <c r="I37" s="20">
        <f t="shared" si="23"/>
        <v>0.02</v>
      </c>
      <c r="J37" s="45">
        <v>1.2</v>
      </c>
      <c r="K37" s="67" t="str">
        <f t="shared" si="24"/>
        <v>Circular</v>
      </c>
      <c r="L37" s="45"/>
      <c r="M37" s="45"/>
      <c r="N37" s="5">
        <v>0.10384548926544655</v>
      </c>
      <c r="O37" s="5">
        <f t="shared" si="25"/>
        <v>1.1943615589867556</v>
      </c>
      <c r="P37" s="5">
        <f t="shared" si="26"/>
        <v>0.67477611539756177</v>
      </c>
      <c r="Q37" s="5">
        <f t="shared" si="27"/>
        <v>4.7588473922396096E-2</v>
      </c>
      <c r="R37" s="5">
        <f t="shared" si="28"/>
        <v>0.71661693539205329</v>
      </c>
      <c r="S37" s="5">
        <f t="shared" si="29"/>
        <v>6.6407129907362514E-2</v>
      </c>
      <c r="T37" s="117">
        <f t="shared" si="30"/>
        <v>1.0000000477587321</v>
      </c>
      <c r="U37" s="5">
        <f t="shared" si="31"/>
        <v>0.8317744245843538</v>
      </c>
      <c r="V37" s="39">
        <f t="shared" si="32"/>
        <v>1.4818832678461638E-2</v>
      </c>
      <c r="W37" s="46" t="str">
        <f t="shared" si="33"/>
        <v>Aceptable</v>
      </c>
      <c r="X37" s="5">
        <f t="shared" si="34"/>
        <v>1.5971498816809348E-4</v>
      </c>
      <c r="Y37" s="5">
        <f t="shared" si="35"/>
        <v>1.5971497291252388E-4</v>
      </c>
      <c r="Z37" s="5">
        <f t="shared" si="36"/>
        <v>1.5255569594044283E-11</v>
      </c>
      <c r="AB37" s="120"/>
      <c r="AC37" s="120" t="str">
        <f t="shared" si="37"/>
        <v/>
      </c>
      <c r="AD37" s="120" t="str">
        <f t="shared" si="38"/>
        <v/>
      </c>
      <c r="AE37" s="120" t="str">
        <f t="shared" si="39"/>
        <v/>
      </c>
      <c r="AF37" s="120" t="str">
        <f t="shared" si="40"/>
        <v/>
      </c>
      <c r="AG37" s="120" t="str">
        <f t="shared" si="41"/>
        <v/>
      </c>
      <c r="AH37" s="120" t="str">
        <f t="shared" si="42"/>
        <v/>
      </c>
      <c r="AI37" s="120" t="str">
        <f t="shared" si="43"/>
        <v/>
      </c>
      <c r="AJ37" s="46" t="str">
        <f t="shared" si="44"/>
        <v/>
      </c>
      <c r="AK37" s="120" t="str">
        <f t="shared" si="45"/>
        <v/>
      </c>
      <c r="AL37" s="120" t="str">
        <f t="shared" si="46"/>
        <v/>
      </c>
      <c r="AM37" s="120" t="str">
        <f t="shared" si="47"/>
        <v/>
      </c>
      <c r="AN37" s="211">
        <v>0</v>
      </c>
      <c r="AP37" s="39">
        <f t="shared" si="0"/>
        <v>0.167433</v>
      </c>
      <c r="AQ37" s="39">
        <f t="shared" si="1"/>
        <v>0.53859500000000005</v>
      </c>
      <c r="AR37" s="39">
        <f t="shared" si="2"/>
        <v>-0.14937</v>
      </c>
      <c r="AS37" s="39">
        <f t="shared" si="3"/>
        <v>3.9154000000000001E-2</v>
      </c>
      <c r="AT37" s="39">
        <f t="shared" si="4"/>
        <v>-3.4399999999999999E-3</v>
      </c>
      <c r="AU37" s="39">
        <f t="shared" si="5"/>
        <v>1.16E-4</v>
      </c>
      <c r="AV37" s="39">
        <f t="shared" si="6"/>
        <v>0.21792954822922408</v>
      </c>
      <c r="AX37" s="157">
        <v>11.3</v>
      </c>
      <c r="AY37" s="120">
        <f t="shared" si="7"/>
        <v>0.22600000000000001</v>
      </c>
      <c r="AZ37" s="39">
        <f t="shared" si="8"/>
        <v>3.5262420662213703E-2</v>
      </c>
      <c r="BA37" s="118">
        <f t="shared" si="9"/>
        <v>0.2</v>
      </c>
      <c r="BB37" s="39">
        <f t="shared" si="48"/>
        <v>7.0524841324427412E-3</v>
      </c>
      <c r="BC37" s="39">
        <f t="shared" si="10"/>
        <v>0.16745280926661651</v>
      </c>
      <c r="BD37" s="39">
        <f t="shared" si="11"/>
        <v>0.20976771406127295</v>
      </c>
      <c r="BE37" s="39">
        <f t="shared" si="12"/>
        <v>0.65192274463272326</v>
      </c>
      <c r="BF37" s="39">
        <f t="shared" si="13"/>
        <v>0.63569045869399621</v>
      </c>
      <c r="BG37" s="39">
        <f t="shared" si="49"/>
        <v>0.63569045869399621</v>
      </c>
      <c r="BH37" s="39">
        <f t="shared" si="50"/>
        <v>0.34140871557833019</v>
      </c>
      <c r="BI37" s="39">
        <f t="shared" si="51"/>
        <v>0.52974204891166354</v>
      </c>
      <c r="BK37" s="129" t="str">
        <f t="shared" si="52"/>
        <v>0</v>
      </c>
      <c r="BL37" s="120" t="str">
        <f t="shared" si="53"/>
        <v>0</v>
      </c>
      <c r="BM37" s="120" t="str">
        <f t="shared" si="54"/>
        <v>No válido</v>
      </c>
      <c r="BN37" s="36"/>
      <c r="BO37" s="129" t="str">
        <f t="shared" si="14"/>
        <v>1</v>
      </c>
      <c r="BP37" s="120" t="str">
        <f t="shared" si="55"/>
        <v>0</v>
      </c>
      <c r="BQ37" s="120" t="str">
        <f t="shared" si="15"/>
        <v>0</v>
      </c>
      <c r="BR37" s="120" t="str">
        <f t="shared" si="16"/>
        <v>No válido</v>
      </c>
      <c r="BT37" s="129" t="str">
        <f t="shared" si="56"/>
        <v>0</v>
      </c>
      <c r="BU37" s="120" t="str">
        <f t="shared" si="57"/>
        <v>1</v>
      </c>
      <c r="BV37" s="120" t="str">
        <f t="shared" si="58"/>
        <v>No válido</v>
      </c>
      <c r="BX37" s="129" t="str">
        <f t="shared" si="59"/>
        <v>1</v>
      </c>
      <c r="BY37" s="129" t="str">
        <f t="shared" si="17"/>
        <v>0</v>
      </c>
      <c r="BZ37" s="27" t="str">
        <f t="shared" si="18"/>
        <v>1</v>
      </c>
      <c r="CA37" s="120" t="str">
        <f t="shared" si="60"/>
        <v>No válido</v>
      </c>
      <c r="CC37" s="129" t="str">
        <f t="shared" si="61"/>
        <v>1</v>
      </c>
      <c r="CD37" s="129" t="str">
        <f t="shared" si="19"/>
        <v>1</v>
      </c>
      <c r="CE37" s="129" t="str">
        <f t="shared" si="20"/>
        <v>0</v>
      </c>
      <c r="CF37" s="120" t="str">
        <f t="shared" si="62"/>
        <v>No válido</v>
      </c>
    </row>
    <row r="38" spans="1:84" x14ac:dyDescent="0.25">
      <c r="A38" s="150" t="s">
        <v>78</v>
      </c>
      <c r="D38" s="120">
        <v>28</v>
      </c>
      <c r="E38" s="24">
        <f>'Cálculos - Distintas Ecuaciones'!F43</f>
        <v>7918</v>
      </c>
      <c r="F38" s="39">
        <f>'Cálculos - Distintas Ecuaciones'!Z43+Cunetas!J97+Cunetas!J98+Cunetas!J99+Cunetas!J100+Cunetas!J101</f>
        <v>0.13774427280571996</v>
      </c>
      <c r="G38" s="50" t="str">
        <f t="shared" si="21"/>
        <v>1</v>
      </c>
      <c r="H38" s="120">
        <f t="shared" si="22"/>
        <v>2.4E-2</v>
      </c>
      <c r="I38" s="20">
        <f t="shared" si="23"/>
        <v>0.02</v>
      </c>
      <c r="J38" s="45">
        <v>1.2</v>
      </c>
      <c r="K38" s="67" t="str">
        <f t="shared" si="24"/>
        <v>Circular</v>
      </c>
      <c r="L38" s="45"/>
      <c r="M38" s="45"/>
      <c r="N38" s="5">
        <v>0.19523454353480288</v>
      </c>
      <c r="O38" s="5">
        <f t="shared" si="25"/>
        <v>1.6607226198209402</v>
      </c>
      <c r="P38" s="5">
        <f t="shared" si="26"/>
        <v>0.88581019468624445</v>
      </c>
      <c r="Q38" s="5">
        <f t="shared" si="27"/>
        <v>0.11965738767091777</v>
      </c>
      <c r="R38" s="5">
        <f t="shared" si="28"/>
        <v>0.9964335718925641</v>
      </c>
      <c r="S38" s="5">
        <f t="shared" si="29"/>
        <v>0.12008566456030577</v>
      </c>
      <c r="T38" s="117">
        <f t="shared" si="30"/>
        <v>1.0000002491824904</v>
      </c>
      <c r="U38" s="5">
        <f t="shared" si="31"/>
        <v>1.1511556075797411</v>
      </c>
      <c r="V38" s="39">
        <f t="shared" si="32"/>
        <v>1.2883553417461328E-2</v>
      </c>
      <c r="W38" s="46" t="str">
        <f t="shared" si="33"/>
        <v>Aceptable</v>
      </c>
      <c r="X38" s="5">
        <f t="shared" si="34"/>
        <v>1.9340962987539861E-3</v>
      </c>
      <c r="Y38" s="5">
        <f t="shared" si="35"/>
        <v>1.9340953348684822E-3</v>
      </c>
      <c r="Z38" s="5">
        <f t="shared" si="36"/>
        <v>9.6388550396495076E-10</v>
      </c>
      <c r="AB38" s="120"/>
      <c r="AC38" s="120" t="str">
        <f t="shared" si="37"/>
        <v/>
      </c>
      <c r="AD38" s="120" t="str">
        <f t="shared" si="38"/>
        <v/>
      </c>
      <c r="AE38" s="120" t="str">
        <f t="shared" si="39"/>
        <v/>
      </c>
      <c r="AF38" s="120" t="str">
        <f t="shared" si="40"/>
        <v/>
      </c>
      <c r="AG38" s="120" t="str">
        <f t="shared" si="41"/>
        <v/>
      </c>
      <c r="AH38" s="120" t="str">
        <f t="shared" si="42"/>
        <v/>
      </c>
      <c r="AI38" s="120" t="str">
        <f t="shared" si="43"/>
        <v/>
      </c>
      <c r="AJ38" s="46" t="str">
        <f t="shared" si="44"/>
        <v/>
      </c>
      <c r="AK38" s="120" t="str">
        <f t="shared" si="45"/>
        <v/>
      </c>
      <c r="AL38" s="120" t="str">
        <f t="shared" si="46"/>
        <v/>
      </c>
      <c r="AM38" s="120" t="str">
        <f t="shared" si="47"/>
        <v/>
      </c>
      <c r="AN38" s="211">
        <v>8</v>
      </c>
      <c r="AP38" s="39">
        <f t="shared" si="0"/>
        <v>0.167433</v>
      </c>
      <c r="AQ38" s="39">
        <f t="shared" si="1"/>
        <v>0.53859500000000005</v>
      </c>
      <c r="AR38" s="39">
        <f t="shared" si="2"/>
        <v>-0.14937</v>
      </c>
      <c r="AS38" s="39">
        <f t="shared" si="3"/>
        <v>3.9154000000000001E-2</v>
      </c>
      <c r="AT38" s="39">
        <f t="shared" si="4"/>
        <v>-3.4399999999999999E-3</v>
      </c>
      <c r="AU38" s="39">
        <f t="shared" si="5"/>
        <v>1.16E-4</v>
      </c>
      <c r="AV38" s="39">
        <f t="shared" si="6"/>
        <v>0.28684374505648846</v>
      </c>
      <c r="AX38" s="157">
        <v>10.65</v>
      </c>
      <c r="AY38" s="120">
        <f t="shared" si="7"/>
        <v>0.21300000000000002</v>
      </c>
      <c r="AZ38" s="39">
        <f t="shared" si="8"/>
        <v>6.7541245303888012E-2</v>
      </c>
      <c r="BA38" s="118">
        <f t="shared" si="9"/>
        <v>0.2</v>
      </c>
      <c r="BB38" s="39">
        <f t="shared" si="48"/>
        <v>1.3508249060777603E-2</v>
      </c>
      <c r="BC38" s="39">
        <f t="shared" si="10"/>
        <v>0.13720984389596316</v>
      </c>
      <c r="BD38" s="39">
        <f t="shared" si="11"/>
        <v>0.21825933826062877</v>
      </c>
      <c r="BE38" s="39">
        <f t="shared" si="12"/>
        <v>0.6976172717674014</v>
      </c>
      <c r="BF38" s="39">
        <f t="shared" si="13"/>
        <v>0.70287661002803015</v>
      </c>
      <c r="BG38" s="39">
        <f t="shared" si="49"/>
        <v>0.70287661002803015</v>
      </c>
      <c r="BH38" s="39">
        <f t="shared" si="50"/>
        <v>0.40823050835669178</v>
      </c>
      <c r="BI38" s="39">
        <f t="shared" si="51"/>
        <v>0.58573050835669183</v>
      </c>
      <c r="BK38" s="129" t="str">
        <f t="shared" si="52"/>
        <v>0</v>
      </c>
      <c r="BL38" s="120" t="str">
        <f t="shared" si="53"/>
        <v>0</v>
      </c>
      <c r="BM38" s="120" t="str">
        <f t="shared" si="54"/>
        <v>No válido</v>
      </c>
      <c r="BN38" s="36"/>
      <c r="BO38" s="129" t="str">
        <f t="shared" si="14"/>
        <v>1</v>
      </c>
      <c r="BP38" s="120" t="str">
        <f t="shared" si="55"/>
        <v>0</v>
      </c>
      <c r="BQ38" s="120" t="str">
        <f t="shared" si="15"/>
        <v>0</v>
      </c>
      <c r="BR38" s="120" t="str">
        <f t="shared" si="16"/>
        <v>No válido</v>
      </c>
      <c r="BT38" s="129" t="str">
        <f t="shared" si="56"/>
        <v>0</v>
      </c>
      <c r="BU38" s="120" t="str">
        <f t="shared" si="57"/>
        <v>1</v>
      </c>
      <c r="BV38" s="120" t="str">
        <f t="shared" si="58"/>
        <v>No válido</v>
      </c>
      <c r="BX38" s="129" t="str">
        <f t="shared" si="59"/>
        <v>1</v>
      </c>
      <c r="BY38" s="129" t="str">
        <f t="shared" si="17"/>
        <v>0</v>
      </c>
      <c r="BZ38" s="27" t="str">
        <f t="shared" si="18"/>
        <v>1</v>
      </c>
      <c r="CA38" s="120" t="str">
        <f t="shared" si="60"/>
        <v>No válido</v>
      </c>
      <c r="CC38" s="129" t="str">
        <f t="shared" si="61"/>
        <v>1</v>
      </c>
      <c r="CD38" s="129" t="str">
        <f t="shared" si="19"/>
        <v>1</v>
      </c>
      <c r="CE38" s="129" t="str">
        <f t="shared" si="20"/>
        <v>0</v>
      </c>
      <c r="CF38" s="120" t="str">
        <f t="shared" si="62"/>
        <v>No válido</v>
      </c>
    </row>
    <row r="39" spans="1:84" x14ac:dyDescent="0.25">
      <c r="A39" s="150" t="s">
        <v>162</v>
      </c>
      <c r="D39" s="120">
        <v>29</v>
      </c>
      <c r="E39" s="24">
        <f>'Cálculos - Distintas Ecuaciones'!F44</f>
        <v>8387.5</v>
      </c>
      <c r="F39" s="39">
        <f>'Cálculos - Distintas Ecuaciones'!Z44+Cunetas!J102+Cunetas!J103</f>
        <v>0.45795216628858509</v>
      </c>
      <c r="G39" s="50" t="str">
        <f t="shared" si="21"/>
        <v>1</v>
      </c>
      <c r="H39" s="120">
        <f t="shared" si="22"/>
        <v>2.4E-2</v>
      </c>
      <c r="I39" s="20">
        <f t="shared" si="23"/>
        <v>0.02</v>
      </c>
      <c r="J39" s="45">
        <v>1.2</v>
      </c>
      <c r="K39" s="67" t="str">
        <f t="shared" si="24"/>
        <v>Circular</v>
      </c>
      <c r="L39" s="45"/>
      <c r="M39" s="45"/>
      <c r="N39" s="5">
        <v>0.36109256086236291</v>
      </c>
      <c r="O39" s="5">
        <f t="shared" si="25"/>
        <v>2.322530848215095</v>
      </c>
      <c r="P39" s="5">
        <f t="shared" si="26"/>
        <v>1.1007692501604434</v>
      </c>
      <c r="Q39" s="5">
        <f t="shared" si="27"/>
        <v>0.2865645713600728</v>
      </c>
      <c r="R39" s="5">
        <f t="shared" si="28"/>
        <v>1.3935185089290569</v>
      </c>
      <c r="S39" s="5">
        <f t="shared" si="29"/>
        <v>0.20564102272333837</v>
      </c>
      <c r="T39" s="117">
        <f t="shared" si="30"/>
        <v>1.0000000317169977</v>
      </c>
      <c r="U39" s="5">
        <f t="shared" si="31"/>
        <v>1.5980767061157786</v>
      </c>
      <c r="V39" s="39">
        <f t="shared" si="32"/>
        <v>1.2119128369315222E-2</v>
      </c>
      <c r="W39" s="46" t="str">
        <f t="shared" si="33"/>
        <v>Aceptable</v>
      </c>
      <c r="X39" s="5">
        <f t="shared" si="34"/>
        <v>2.1378204547238315E-2</v>
      </c>
      <c r="Y39" s="5">
        <f t="shared" si="35"/>
        <v>2.1378203191133458E-2</v>
      </c>
      <c r="Z39" s="5">
        <f t="shared" si="36"/>
        <v>1.3561048568810907E-9</v>
      </c>
      <c r="AB39" s="120"/>
      <c r="AC39" s="120" t="str">
        <f t="shared" si="37"/>
        <v/>
      </c>
      <c r="AD39" s="120" t="str">
        <f t="shared" si="38"/>
        <v/>
      </c>
      <c r="AE39" s="120" t="str">
        <f t="shared" si="39"/>
        <v/>
      </c>
      <c r="AF39" s="120" t="str">
        <f t="shared" si="40"/>
        <v/>
      </c>
      <c r="AG39" s="120" t="str">
        <f t="shared" si="41"/>
        <v/>
      </c>
      <c r="AH39" s="120" t="str">
        <f t="shared" si="42"/>
        <v/>
      </c>
      <c r="AI39" s="120" t="str">
        <f t="shared" si="43"/>
        <v/>
      </c>
      <c r="AJ39" s="46" t="str">
        <f t="shared" si="44"/>
        <v/>
      </c>
      <c r="AK39" s="120" t="str">
        <f t="shared" si="45"/>
        <v/>
      </c>
      <c r="AL39" s="120" t="str">
        <f t="shared" si="46"/>
        <v/>
      </c>
      <c r="AM39" s="120" t="str">
        <f t="shared" si="47"/>
        <v/>
      </c>
      <c r="AN39" s="211">
        <v>7</v>
      </c>
      <c r="AP39" s="39">
        <f t="shared" si="0"/>
        <v>0.167433</v>
      </c>
      <c r="AQ39" s="39">
        <f t="shared" si="1"/>
        <v>0.53859500000000005</v>
      </c>
      <c r="AR39" s="39">
        <f t="shared" si="2"/>
        <v>-0.14937</v>
      </c>
      <c r="AS39" s="39">
        <f t="shared" si="3"/>
        <v>3.9154000000000001E-2</v>
      </c>
      <c r="AT39" s="39">
        <f t="shared" si="4"/>
        <v>-3.4399999999999999E-3</v>
      </c>
      <c r="AU39" s="39">
        <f t="shared" si="5"/>
        <v>1.16E-4</v>
      </c>
      <c r="AV39" s="39">
        <f t="shared" si="6"/>
        <v>0.485740057874193</v>
      </c>
      <c r="AX39" s="157">
        <v>11.25</v>
      </c>
      <c r="AY39" s="120">
        <f t="shared" si="7"/>
        <v>0.22500000000000001</v>
      </c>
      <c r="AZ39" s="39">
        <f t="shared" si="8"/>
        <v>0.13016560441538513</v>
      </c>
      <c r="BA39" s="118">
        <f t="shared" si="9"/>
        <v>0.2</v>
      </c>
      <c r="BB39" s="39">
        <f t="shared" si="48"/>
        <v>2.6033120883077028E-2</v>
      </c>
      <c r="BC39" s="39">
        <f t="shared" si="10"/>
        <v>0.13634019415479626</v>
      </c>
      <c r="BD39" s="39">
        <f t="shared" si="11"/>
        <v>0.29253891945325838</v>
      </c>
      <c r="BE39" s="39">
        <f t="shared" si="12"/>
        <v>0.78054628043118146</v>
      </c>
      <c r="BF39" s="39">
        <f t="shared" si="13"/>
        <v>0.84808519988443998</v>
      </c>
      <c r="BG39" s="39">
        <f t="shared" si="49"/>
        <v>0.84808519988443998</v>
      </c>
      <c r="BH39" s="39">
        <f t="shared" si="50"/>
        <v>0.51923766657036674</v>
      </c>
      <c r="BI39" s="39">
        <f t="shared" si="51"/>
        <v>0.70673766657036663</v>
      </c>
      <c r="BK39" s="129" t="str">
        <f t="shared" si="52"/>
        <v>0</v>
      </c>
      <c r="BL39" s="120" t="str">
        <f t="shared" si="53"/>
        <v>0</v>
      </c>
      <c r="BM39" s="120" t="str">
        <f t="shared" si="54"/>
        <v>No válido</v>
      </c>
      <c r="BN39" s="36"/>
      <c r="BO39" s="129" t="str">
        <f t="shared" si="14"/>
        <v>1</v>
      </c>
      <c r="BP39" s="120" t="str">
        <f t="shared" si="55"/>
        <v>0</v>
      </c>
      <c r="BQ39" s="120" t="str">
        <f t="shared" si="15"/>
        <v>0</v>
      </c>
      <c r="BR39" s="120" t="str">
        <f t="shared" si="16"/>
        <v>No válido</v>
      </c>
      <c r="BT39" s="129" t="str">
        <f t="shared" si="56"/>
        <v>0</v>
      </c>
      <c r="BU39" s="120" t="str">
        <f t="shared" si="57"/>
        <v>1</v>
      </c>
      <c r="BV39" s="120" t="str">
        <f t="shared" si="58"/>
        <v>No válido</v>
      </c>
      <c r="BX39" s="129" t="str">
        <f t="shared" si="59"/>
        <v>1</v>
      </c>
      <c r="BY39" s="129" t="str">
        <f t="shared" si="17"/>
        <v>0</v>
      </c>
      <c r="BZ39" s="27" t="str">
        <f t="shared" si="18"/>
        <v>1</v>
      </c>
      <c r="CA39" s="120" t="str">
        <f t="shared" si="60"/>
        <v>No válido</v>
      </c>
      <c r="CC39" s="129" t="str">
        <f t="shared" si="61"/>
        <v>1</v>
      </c>
      <c r="CD39" s="129" t="str">
        <f t="shared" si="19"/>
        <v>1</v>
      </c>
      <c r="CE39" s="129" t="str">
        <f t="shared" si="20"/>
        <v>0</v>
      </c>
      <c r="CF39" s="120" t="str">
        <f t="shared" si="62"/>
        <v>No válido</v>
      </c>
    </row>
    <row r="40" spans="1:84" x14ac:dyDescent="0.25">
      <c r="A40" s="150" t="s">
        <v>162</v>
      </c>
      <c r="D40" s="120">
        <v>30</v>
      </c>
      <c r="E40" s="24">
        <f>'Cálculos - Distintas Ecuaciones'!F45</f>
        <v>8693</v>
      </c>
      <c r="F40" s="39">
        <f>'Cálculos - Distintas Ecuaciones'!Z45+Cunetas!J104</f>
        <v>0.46931234821145779</v>
      </c>
      <c r="G40" s="50" t="str">
        <f t="shared" si="21"/>
        <v>1</v>
      </c>
      <c r="H40" s="120">
        <f t="shared" si="22"/>
        <v>2.4E-2</v>
      </c>
      <c r="I40" s="20">
        <f t="shared" si="23"/>
        <v>0.02</v>
      </c>
      <c r="J40" s="45">
        <v>1.2</v>
      </c>
      <c r="K40" s="67" t="str">
        <f t="shared" si="24"/>
        <v>Circular</v>
      </c>
      <c r="L40" s="45"/>
      <c r="M40" s="45"/>
      <c r="N40" s="5">
        <v>0.36568761062592847</v>
      </c>
      <c r="O40" s="5">
        <f t="shared" si="25"/>
        <v>2.3391984887340604</v>
      </c>
      <c r="P40" s="5">
        <f t="shared" si="26"/>
        <v>1.1047130019798146</v>
      </c>
      <c r="Q40" s="5">
        <f t="shared" si="27"/>
        <v>0.291631756438884</v>
      </c>
      <c r="R40" s="5">
        <f t="shared" si="28"/>
        <v>1.4035190932404362</v>
      </c>
      <c r="S40" s="5">
        <f t="shared" si="29"/>
        <v>0.20778609841749029</v>
      </c>
      <c r="T40" s="117">
        <f t="shared" si="30"/>
        <v>0.99999997692051534</v>
      </c>
      <c r="U40" s="5">
        <f t="shared" si="31"/>
        <v>1.6092635244605453</v>
      </c>
      <c r="V40" s="39">
        <f t="shared" si="32"/>
        <v>1.2120526930730876E-2</v>
      </c>
      <c r="W40" s="46" t="str">
        <f t="shared" si="33"/>
        <v>Aceptable</v>
      </c>
      <c r="X40" s="5">
        <f t="shared" si="34"/>
        <v>2.2451995941259184E-2</v>
      </c>
      <c r="Y40" s="5">
        <f t="shared" si="35"/>
        <v>2.2451996977620212E-2</v>
      </c>
      <c r="Z40" s="5">
        <f t="shared" si="36"/>
        <v>-1.0363610282448921E-9</v>
      </c>
      <c r="AB40" s="120"/>
      <c r="AC40" s="120" t="str">
        <f t="shared" si="37"/>
        <v/>
      </c>
      <c r="AD40" s="120" t="str">
        <f t="shared" si="38"/>
        <v/>
      </c>
      <c r="AE40" s="120" t="str">
        <f t="shared" si="39"/>
        <v/>
      </c>
      <c r="AF40" s="120" t="str">
        <f t="shared" si="40"/>
        <v/>
      </c>
      <c r="AG40" s="120" t="str">
        <f t="shared" si="41"/>
        <v/>
      </c>
      <c r="AH40" s="120" t="str">
        <f t="shared" si="42"/>
        <v/>
      </c>
      <c r="AI40" s="120" t="str">
        <f t="shared" si="43"/>
        <v/>
      </c>
      <c r="AJ40" s="46" t="str">
        <f t="shared" si="44"/>
        <v/>
      </c>
      <c r="AK40" s="120" t="str">
        <f t="shared" si="45"/>
        <v/>
      </c>
      <c r="AL40" s="120" t="str">
        <f t="shared" si="46"/>
        <v/>
      </c>
      <c r="AM40" s="120" t="str">
        <f t="shared" si="47"/>
        <v/>
      </c>
      <c r="AN40" s="211">
        <v>13</v>
      </c>
      <c r="AP40" s="39">
        <f t="shared" si="0"/>
        <v>0.167433</v>
      </c>
      <c r="AQ40" s="39">
        <f t="shared" si="1"/>
        <v>0.53859500000000005</v>
      </c>
      <c r="AR40" s="39">
        <f t="shared" si="2"/>
        <v>-0.14937</v>
      </c>
      <c r="AS40" s="39">
        <f t="shared" si="3"/>
        <v>3.9154000000000001E-2</v>
      </c>
      <c r="AT40" s="39">
        <f t="shared" si="4"/>
        <v>-3.4399999999999999E-3</v>
      </c>
      <c r="AU40" s="39">
        <f t="shared" si="5"/>
        <v>1.16E-4</v>
      </c>
      <c r="AV40" s="39">
        <f t="shared" si="6"/>
        <v>0.49217070838037202</v>
      </c>
      <c r="AX40" s="157">
        <v>10.3</v>
      </c>
      <c r="AY40" s="120">
        <f t="shared" si="7"/>
        <v>0.20600000000000002</v>
      </c>
      <c r="AZ40" s="39">
        <f t="shared" si="8"/>
        <v>0.13199434715388259</v>
      </c>
      <c r="BA40" s="118">
        <f t="shared" si="9"/>
        <v>0.2</v>
      </c>
      <c r="BB40" s="39">
        <f t="shared" si="48"/>
        <v>2.6398869430776517E-2</v>
      </c>
      <c r="BC40" s="39">
        <f t="shared" si="10"/>
        <v>0.12484142738652804</v>
      </c>
      <c r="BD40" s="39">
        <f t="shared" si="11"/>
        <v>0.28323464397118714</v>
      </c>
      <c r="BE40" s="39">
        <f t="shared" si="12"/>
        <v>0.78284380531296427</v>
      </c>
      <c r="BF40" s="39">
        <f t="shared" si="13"/>
        <v>0.86007844928415134</v>
      </c>
      <c r="BG40" s="39">
        <f t="shared" si="49"/>
        <v>0.86007844928415134</v>
      </c>
      <c r="BH40" s="39">
        <f t="shared" si="50"/>
        <v>0.54506537440345948</v>
      </c>
      <c r="BI40" s="39">
        <f t="shared" si="51"/>
        <v>0.71673204107012611</v>
      </c>
      <c r="BK40" s="129" t="str">
        <f t="shared" si="52"/>
        <v>0</v>
      </c>
      <c r="BL40" s="120" t="str">
        <f t="shared" si="53"/>
        <v>0</v>
      </c>
      <c r="BM40" s="120" t="str">
        <f t="shared" si="54"/>
        <v>No válido</v>
      </c>
      <c r="BN40" s="36"/>
      <c r="BO40" s="129" t="str">
        <f t="shared" si="14"/>
        <v>1</v>
      </c>
      <c r="BP40" s="120" t="str">
        <f t="shared" si="55"/>
        <v>0</v>
      </c>
      <c r="BQ40" s="120" t="str">
        <f t="shared" si="15"/>
        <v>0</v>
      </c>
      <c r="BR40" s="120" t="str">
        <f t="shared" si="16"/>
        <v>No válido</v>
      </c>
      <c r="BT40" s="129" t="str">
        <f t="shared" si="56"/>
        <v>0</v>
      </c>
      <c r="BU40" s="120" t="str">
        <f t="shared" si="57"/>
        <v>1</v>
      </c>
      <c r="BV40" s="120" t="str">
        <f t="shared" si="58"/>
        <v>No válido</v>
      </c>
      <c r="BX40" s="129" t="str">
        <f t="shared" si="59"/>
        <v>1</v>
      </c>
      <c r="BY40" s="129" t="str">
        <f t="shared" si="17"/>
        <v>0</v>
      </c>
      <c r="BZ40" s="27" t="str">
        <f t="shared" si="18"/>
        <v>1</v>
      </c>
      <c r="CA40" s="120" t="str">
        <f t="shared" si="60"/>
        <v>No válido</v>
      </c>
      <c r="CC40" s="129" t="str">
        <f t="shared" si="61"/>
        <v>1</v>
      </c>
      <c r="CD40" s="129" t="str">
        <f t="shared" si="19"/>
        <v>1</v>
      </c>
      <c r="CE40" s="129" t="str">
        <f t="shared" si="20"/>
        <v>0</v>
      </c>
      <c r="CF40" s="120" t="str">
        <f t="shared" si="62"/>
        <v>No válido</v>
      </c>
    </row>
    <row r="41" spans="1:84" x14ac:dyDescent="0.25">
      <c r="A41" s="150" t="s">
        <v>80</v>
      </c>
      <c r="B41" t="s">
        <v>305</v>
      </c>
      <c r="D41" s="120">
        <v>31</v>
      </c>
      <c r="E41" s="24">
        <f>'Cálculos - Distintas Ecuaciones'!F46</f>
        <v>8942.2000000000007</v>
      </c>
      <c r="F41" s="39">
        <f>'Cálculos - Distintas Ecuaciones'!Z46+Cunetas!J105+Cunetas!J106+Cunetas!J107</f>
        <v>6.9108600160497774E-2</v>
      </c>
      <c r="G41" s="50" t="str">
        <f t="shared" si="21"/>
        <v>1</v>
      </c>
      <c r="H41" s="120">
        <f t="shared" si="22"/>
        <v>2.4E-2</v>
      </c>
      <c r="I41" s="20">
        <f t="shared" si="23"/>
        <v>0.02</v>
      </c>
      <c r="J41" s="45">
        <v>1.2</v>
      </c>
      <c r="K41" s="67" t="str">
        <f t="shared" si="24"/>
        <v>Circular</v>
      </c>
      <c r="L41" s="45"/>
      <c r="M41" s="45"/>
      <c r="N41" s="5">
        <v>0.13760894160449066</v>
      </c>
      <c r="O41" s="5">
        <f t="shared" si="25"/>
        <v>1.3818660822876776</v>
      </c>
      <c r="P41" s="5">
        <f t="shared" si="26"/>
        <v>0.76470781116941833</v>
      </c>
      <c r="Q41" s="5">
        <f t="shared" si="27"/>
        <v>7.1938867726811656E-2</v>
      </c>
      <c r="R41" s="5">
        <f t="shared" si="28"/>
        <v>0.82911964937260652</v>
      </c>
      <c r="S41" s="5">
        <f t="shared" si="29"/>
        <v>8.6765363456586364E-2</v>
      </c>
      <c r="T41" s="117">
        <f t="shared" si="30"/>
        <v>0.99999990469609457</v>
      </c>
      <c r="U41" s="5">
        <f t="shared" si="31"/>
        <v>0.96065732397871706</v>
      </c>
      <c r="V41" s="39">
        <f t="shared" si="32"/>
        <v>1.3838774284011526E-2</v>
      </c>
      <c r="W41" s="46" t="str">
        <f t="shared" si="33"/>
        <v>Aceptable</v>
      </c>
      <c r="X41" s="5">
        <f t="shared" si="34"/>
        <v>4.8685001183930199E-4</v>
      </c>
      <c r="Y41" s="5">
        <f t="shared" si="35"/>
        <v>4.8685010463673042E-4</v>
      </c>
      <c r="Z41" s="5">
        <f t="shared" si="36"/>
        <v>-9.2797428432895429E-11</v>
      </c>
      <c r="AB41" s="120"/>
      <c r="AC41" s="120" t="str">
        <f t="shared" si="37"/>
        <v/>
      </c>
      <c r="AD41" s="120" t="str">
        <f t="shared" si="38"/>
        <v/>
      </c>
      <c r="AE41" s="120" t="str">
        <f t="shared" si="39"/>
        <v/>
      </c>
      <c r="AF41" s="120" t="str">
        <f t="shared" si="40"/>
        <v/>
      </c>
      <c r="AG41" s="120" t="str">
        <f t="shared" si="41"/>
        <v/>
      </c>
      <c r="AH41" s="120" t="str">
        <f t="shared" si="42"/>
        <v/>
      </c>
      <c r="AI41" s="120" t="str">
        <f t="shared" si="43"/>
        <v/>
      </c>
      <c r="AJ41" s="46" t="str">
        <f t="shared" si="44"/>
        <v/>
      </c>
      <c r="AK41" s="120" t="str">
        <f t="shared" si="45"/>
        <v/>
      </c>
      <c r="AL41" s="120" t="str">
        <f t="shared" si="46"/>
        <v/>
      </c>
      <c r="AM41" s="120" t="str">
        <f t="shared" si="47"/>
        <v/>
      </c>
      <c r="AN41" s="211">
        <v>-9</v>
      </c>
      <c r="AP41" s="39">
        <f t="shared" si="0"/>
        <v>0.167433</v>
      </c>
      <c r="AQ41" s="39">
        <f t="shared" si="1"/>
        <v>0.53859500000000005</v>
      </c>
      <c r="AR41" s="39">
        <f t="shared" si="2"/>
        <v>-0.14937</v>
      </c>
      <c r="AS41" s="39">
        <f t="shared" si="3"/>
        <v>3.9154000000000001E-2</v>
      </c>
      <c r="AT41" s="39">
        <f t="shared" si="4"/>
        <v>-3.4399999999999999E-3</v>
      </c>
      <c r="AU41" s="39">
        <f t="shared" si="5"/>
        <v>1.16E-4</v>
      </c>
      <c r="AV41" s="39">
        <f t="shared" si="6"/>
        <v>0.23910210891687717</v>
      </c>
      <c r="AX41" s="157">
        <v>11.9</v>
      </c>
      <c r="AY41" s="120">
        <f t="shared" si="7"/>
        <v>0.23800000000000002</v>
      </c>
      <c r="AZ41" s="39">
        <f t="shared" si="8"/>
        <v>4.7036824368702837E-2</v>
      </c>
      <c r="BA41" s="118">
        <f t="shared" si="9"/>
        <v>0.2</v>
      </c>
      <c r="BB41" s="39">
        <f t="shared" si="48"/>
        <v>9.4073648737405674E-3</v>
      </c>
      <c r="BC41" s="39">
        <f t="shared" si="10"/>
        <v>0.16468141397973718</v>
      </c>
      <c r="BD41" s="39">
        <f t="shared" si="11"/>
        <v>0.22112560322218058</v>
      </c>
      <c r="BE41" s="39">
        <f t="shared" si="12"/>
        <v>0.66880447080224537</v>
      </c>
      <c r="BF41" s="39">
        <f t="shared" si="13"/>
        <v>0.65193007402442593</v>
      </c>
      <c r="BG41" s="39">
        <f t="shared" si="49"/>
        <v>0.65193007402442593</v>
      </c>
      <c r="BH41" s="39">
        <f t="shared" si="50"/>
        <v>0.3449417283536883</v>
      </c>
      <c r="BI41" s="39">
        <f t="shared" si="51"/>
        <v>0.54327506168702167</v>
      </c>
      <c r="BK41" s="129" t="str">
        <f t="shared" si="52"/>
        <v>0</v>
      </c>
      <c r="BL41" s="120" t="str">
        <f t="shared" si="53"/>
        <v>0</v>
      </c>
      <c r="BM41" s="120" t="str">
        <f t="shared" si="54"/>
        <v>No válido</v>
      </c>
      <c r="BN41" s="36"/>
      <c r="BO41" s="129" t="str">
        <f t="shared" si="14"/>
        <v>1</v>
      </c>
      <c r="BP41" s="120" t="str">
        <f t="shared" si="55"/>
        <v>0</v>
      </c>
      <c r="BQ41" s="120" t="str">
        <f t="shared" si="15"/>
        <v>0</v>
      </c>
      <c r="BR41" s="120" t="str">
        <f t="shared" si="16"/>
        <v>No válido</v>
      </c>
      <c r="BT41" s="129" t="str">
        <f t="shared" si="56"/>
        <v>0</v>
      </c>
      <c r="BU41" s="120" t="str">
        <f t="shared" si="57"/>
        <v>1</v>
      </c>
      <c r="BV41" s="120" t="str">
        <f t="shared" si="58"/>
        <v>No válido</v>
      </c>
      <c r="BX41" s="129" t="str">
        <f t="shared" si="59"/>
        <v>1</v>
      </c>
      <c r="BY41" s="129" t="str">
        <f t="shared" si="17"/>
        <v>0</v>
      </c>
      <c r="BZ41" s="27" t="str">
        <f t="shared" si="18"/>
        <v>1</v>
      </c>
      <c r="CA41" s="120" t="str">
        <f t="shared" si="60"/>
        <v>No válido</v>
      </c>
      <c r="CC41" s="129" t="str">
        <f t="shared" si="61"/>
        <v>1</v>
      </c>
      <c r="CD41" s="129" t="str">
        <f t="shared" si="19"/>
        <v>1</v>
      </c>
      <c r="CE41" s="129" t="str">
        <f t="shared" si="20"/>
        <v>0</v>
      </c>
      <c r="CF41" s="120" t="str">
        <f t="shared" si="62"/>
        <v>No válido</v>
      </c>
    </row>
    <row r="42" spans="1:84" x14ac:dyDescent="0.25">
      <c r="A42" s="95" t="s">
        <v>80</v>
      </c>
      <c r="D42" s="120">
        <v>32</v>
      </c>
      <c r="E42" s="24">
        <f>'Cálculos - Distintas Ecuaciones'!F47</f>
        <v>9433</v>
      </c>
      <c r="F42" s="39">
        <f>'Cálculos - Distintas Ecuaciones'!Z47+Cunetas!J108+Cunetas!J109+Cunetas!J110</f>
        <v>0.20100576914099511</v>
      </c>
      <c r="G42" s="50" t="str">
        <f t="shared" si="21"/>
        <v>1</v>
      </c>
      <c r="H42" s="120">
        <f t="shared" si="22"/>
        <v>2.4E-2</v>
      </c>
      <c r="I42" s="20">
        <f t="shared" si="23"/>
        <v>0.02</v>
      </c>
      <c r="J42" s="45">
        <v>1.2</v>
      </c>
      <c r="K42" s="67" t="str">
        <f t="shared" si="24"/>
        <v>Circular</v>
      </c>
      <c r="L42" s="45"/>
      <c r="M42" s="45"/>
      <c r="N42" s="5">
        <v>0.23668442543041956</v>
      </c>
      <c r="O42" s="5">
        <f t="shared" si="25"/>
        <v>1.8407394595962216</v>
      </c>
      <c r="P42" s="5">
        <f t="shared" si="26"/>
        <v>0.95499066649926079</v>
      </c>
      <c r="Q42" s="5">
        <f t="shared" si="27"/>
        <v>0.15785161137343715</v>
      </c>
      <c r="R42" s="5">
        <f t="shared" si="28"/>
        <v>1.1044436757577329</v>
      </c>
      <c r="S42" s="5">
        <f t="shared" si="29"/>
        <v>0.14292409367561351</v>
      </c>
      <c r="T42" s="117">
        <f t="shared" si="30"/>
        <v>1.0000001218054293</v>
      </c>
      <c r="U42" s="5">
        <f t="shared" si="31"/>
        <v>1.2733843347691023</v>
      </c>
      <c r="V42" s="39">
        <f t="shared" si="32"/>
        <v>1.2498778161597852E-2</v>
      </c>
      <c r="W42" s="46" t="str">
        <f t="shared" si="33"/>
        <v>Aceptable</v>
      </c>
      <c r="X42" s="5">
        <f t="shared" si="34"/>
        <v>4.1185850385283404E-3</v>
      </c>
      <c r="Y42" s="5">
        <f t="shared" si="35"/>
        <v>4.1185840351964853E-3</v>
      </c>
      <c r="Z42" s="5">
        <f t="shared" si="36"/>
        <v>1.0033318550983772E-9</v>
      </c>
      <c r="AB42" s="120"/>
      <c r="AC42" s="120" t="str">
        <f t="shared" si="37"/>
        <v/>
      </c>
      <c r="AD42" s="120" t="str">
        <f t="shared" si="38"/>
        <v/>
      </c>
      <c r="AE42" s="120" t="str">
        <f t="shared" si="39"/>
        <v/>
      </c>
      <c r="AF42" s="120" t="str">
        <f t="shared" si="40"/>
        <v/>
      </c>
      <c r="AG42" s="120" t="str">
        <f t="shared" si="41"/>
        <v/>
      </c>
      <c r="AH42" s="120" t="str">
        <f t="shared" si="42"/>
        <v/>
      </c>
      <c r="AI42" s="120" t="str">
        <f t="shared" si="43"/>
        <v/>
      </c>
      <c r="AJ42" s="46" t="str">
        <f t="shared" si="44"/>
        <v/>
      </c>
      <c r="AK42" s="120" t="str">
        <f t="shared" si="45"/>
        <v/>
      </c>
      <c r="AL42" s="120" t="str">
        <f t="shared" si="46"/>
        <v/>
      </c>
      <c r="AM42" s="120" t="str">
        <f t="shared" si="47"/>
        <v/>
      </c>
      <c r="AN42" s="211">
        <v>0</v>
      </c>
      <c r="AP42" s="39">
        <f t="shared" si="0"/>
        <v>0.167433</v>
      </c>
      <c r="AQ42" s="39">
        <f t="shared" si="1"/>
        <v>0.53859500000000005</v>
      </c>
      <c r="AR42" s="39">
        <f t="shared" si="2"/>
        <v>-0.14937</v>
      </c>
      <c r="AS42" s="39">
        <f t="shared" si="3"/>
        <v>3.9154000000000001E-2</v>
      </c>
      <c r="AT42" s="39">
        <f t="shared" si="4"/>
        <v>-3.4399999999999999E-3</v>
      </c>
      <c r="AU42" s="39">
        <f t="shared" si="5"/>
        <v>1.16E-4</v>
      </c>
      <c r="AV42" s="39">
        <f t="shared" si="6"/>
        <v>0.32911049244405111</v>
      </c>
      <c r="AX42" s="157">
        <v>12.6</v>
      </c>
      <c r="AY42" s="120">
        <f t="shared" si="7"/>
        <v>0.252</v>
      </c>
      <c r="AZ42" s="39">
        <f t="shared" si="8"/>
        <v>8.2645650562454084E-2</v>
      </c>
      <c r="BA42" s="118">
        <f t="shared" si="9"/>
        <v>0.2</v>
      </c>
      <c r="BB42" s="39">
        <f t="shared" si="48"/>
        <v>1.6529130112490818E-2</v>
      </c>
      <c r="BC42" s="39">
        <f t="shared" si="10"/>
        <v>0.15748460483613291</v>
      </c>
      <c r="BD42" s="39">
        <f t="shared" si="11"/>
        <v>0.25665938551107781</v>
      </c>
      <c r="BE42" s="39">
        <f t="shared" si="12"/>
        <v>0.7183422127152097</v>
      </c>
      <c r="BF42" s="39">
        <f t="shared" si="13"/>
        <v>0.72300159822628751</v>
      </c>
      <c r="BG42" s="39">
        <f t="shared" si="49"/>
        <v>0.72300159822628751</v>
      </c>
      <c r="BH42" s="39">
        <f t="shared" si="50"/>
        <v>0.39250133185523961</v>
      </c>
      <c r="BI42" s="39">
        <f t="shared" si="51"/>
        <v>0.60250133185523957</v>
      </c>
      <c r="BK42" s="129" t="str">
        <f t="shared" si="52"/>
        <v>0</v>
      </c>
      <c r="BL42" s="120" t="str">
        <f t="shared" si="53"/>
        <v>0</v>
      </c>
      <c r="BM42" s="120" t="str">
        <f t="shared" si="54"/>
        <v>No válido</v>
      </c>
      <c r="BN42" s="36"/>
      <c r="BO42" s="129" t="str">
        <f t="shared" si="14"/>
        <v>1</v>
      </c>
      <c r="BP42" s="120" t="str">
        <f t="shared" si="55"/>
        <v>0</v>
      </c>
      <c r="BQ42" s="120" t="str">
        <f t="shared" si="15"/>
        <v>0</v>
      </c>
      <c r="BR42" s="120" t="str">
        <f t="shared" si="16"/>
        <v>No válido</v>
      </c>
      <c r="BT42" s="129" t="str">
        <f t="shared" si="56"/>
        <v>0</v>
      </c>
      <c r="BU42" s="120" t="str">
        <f t="shared" si="57"/>
        <v>1</v>
      </c>
      <c r="BV42" s="120" t="str">
        <f t="shared" si="58"/>
        <v>No válido</v>
      </c>
      <c r="BX42" s="129" t="str">
        <f t="shared" si="59"/>
        <v>1</v>
      </c>
      <c r="BY42" s="129" t="str">
        <f t="shared" si="17"/>
        <v>0</v>
      </c>
      <c r="BZ42" s="27" t="str">
        <f t="shared" si="18"/>
        <v>1</v>
      </c>
      <c r="CA42" s="120" t="str">
        <f t="shared" si="60"/>
        <v>No válido</v>
      </c>
      <c r="CC42" s="129" t="str">
        <f t="shared" si="61"/>
        <v>1</v>
      </c>
      <c r="CD42" s="129" t="str">
        <f t="shared" si="19"/>
        <v>1</v>
      </c>
      <c r="CE42" s="129" t="str">
        <f t="shared" si="20"/>
        <v>0</v>
      </c>
      <c r="CF42" s="120" t="str">
        <f t="shared" si="62"/>
        <v>No válido</v>
      </c>
    </row>
    <row r="43" spans="1:84" x14ac:dyDescent="0.25">
      <c r="A43" s="150" t="s">
        <v>80</v>
      </c>
      <c r="B43" t="s">
        <v>305</v>
      </c>
      <c r="D43" s="120">
        <v>33</v>
      </c>
      <c r="E43" s="24">
        <f>'Cálculos - Distintas Ecuaciones'!F48</f>
        <v>9555</v>
      </c>
      <c r="F43" s="39">
        <f>'Cálculos - Distintas Ecuaciones'!Z48+Cunetas!K111</f>
        <v>0.1196622248666776</v>
      </c>
      <c r="G43" s="50" t="str">
        <f t="shared" si="21"/>
        <v>1</v>
      </c>
      <c r="H43" s="120">
        <f t="shared" si="22"/>
        <v>2.4E-2</v>
      </c>
      <c r="I43" s="20">
        <f t="shared" si="23"/>
        <v>0.02</v>
      </c>
      <c r="J43" s="45">
        <v>1.2</v>
      </c>
      <c r="K43" s="67" t="str">
        <f t="shared" si="24"/>
        <v>Circular</v>
      </c>
      <c r="L43" s="45"/>
      <c r="M43" s="45"/>
      <c r="N43" s="5">
        <v>0.18175949580818732</v>
      </c>
      <c r="O43" s="5">
        <f t="shared" si="25"/>
        <v>1.5989938446951608</v>
      </c>
      <c r="P43" s="5">
        <f t="shared" si="26"/>
        <v>0.86040660307410077</v>
      </c>
      <c r="Q43" s="5">
        <f t="shared" si="27"/>
        <v>0.10789044630529056</v>
      </c>
      <c r="R43" s="5">
        <f t="shared" si="28"/>
        <v>0.95939630681709642</v>
      </c>
      <c r="S43" s="5">
        <f t="shared" si="29"/>
        <v>0.11245659957064987</v>
      </c>
      <c r="T43" s="117">
        <f t="shared" si="30"/>
        <v>0.9999998907942288</v>
      </c>
      <c r="U43" s="5">
        <f t="shared" si="31"/>
        <v>1.109108627913886</v>
      </c>
      <c r="V43" s="39">
        <f t="shared" si="32"/>
        <v>1.3053412264574968E-2</v>
      </c>
      <c r="W43" s="46" t="str">
        <f t="shared" si="33"/>
        <v>Aceptable</v>
      </c>
      <c r="X43" s="5">
        <f t="shared" si="34"/>
        <v>1.4596379266099198E-3</v>
      </c>
      <c r="Y43" s="5">
        <f t="shared" si="35"/>
        <v>1.4596382454117429E-3</v>
      </c>
      <c r="Z43" s="5">
        <f t="shared" si="36"/>
        <v>-3.1880182304808158E-10</v>
      </c>
      <c r="AB43" s="120"/>
      <c r="AC43" s="120" t="str">
        <f t="shared" si="37"/>
        <v/>
      </c>
      <c r="AD43" s="120" t="str">
        <f t="shared" si="38"/>
        <v/>
      </c>
      <c r="AE43" s="120" t="str">
        <f t="shared" si="39"/>
        <v/>
      </c>
      <c r="AF43" s="120" t="str">
        <f t="shared" si="40"/>
        <v/>
      </c>
      <c r="AG43" s="120" t="str">
        <f t="shared" si="41"/>
        <v/>
      </c>
      <c r="AH43" s="120" t="str">
        <f t="shared" si="42"/>
        <v/>
      </c>
      <c r="AI43" s="120" t="str">
        <f t="shared" si="43"/>
        <v/>
      </c>
      <c r="AJ43" s="46" t="str">
        <f t="shared" si="44"/>
        <v/>
      </c>
      <c r="AK43" s="120" t="str">
        <f t="shared" si="45"/>
        <v/>
      </c>
      <c r="AL43" s="120" t="str">
        <f t="shared" si="46"/>
        <v/>
      </c>
      <c r="AM43" s="120" t="str">
        <f t="shared" si="47"/>
        <v/>
      </c>
      <c r="AN43" s="211">
        <v>14</v>
      </c>
      <c r="AP43" s="39">
        <f t="shared" ref="AP43:AP74" si="63">IF(G43="1",0.167433,IF(G43="2",0.072493,""))</f>
        <v>0.167433</v>
      </c>
      <c r="AQ43" s="39">
        <f t="shared" ref="AQ43:AQ74" si="64">IF(G43="1",0.538595,IF(G43="2",0.507087,""))</f>
        <v>0.53859500000000005</v>
      </c>
      <c r="AR43" s="39">
        <f t="shared" ref="AR43:AR74" si="65">IF(G43="1",-0.14937,IF(G43="2",-0.11747,""))</f>
        <v>-0.14937</v>
      </c>
      <c r="AS43" s="39">
        <f t="shared" ref="AS43:AS74" si="66">IF(G43="1",0.039154,IF(G43="2",0.02217,""))</f>
        <v>3.9154000000000001E-2</v>
      </c>
      <c r="AT43" s="39">
        <f t="shared" ref="AT43:AT74" si="67">IF(G43="1",-0.00344,IF(G43="2",-0.00149,""))</f>
        <v>-3.4399999999999999E-3</v>
      </c>
      <c r="AU43" s="39">
        <f t="shared" ref="AU43:AU74" si="68">IF(G43="1",0.000116,IF(G43="2",0.000038,""))</f>
        <v>1.16E-4</v>
      </c>
      <c r="AV43" s="39">
        <f t="shared" ref="AV43:AV74" si="69">IF(G43="1",J43*(AP43+(AQ43*$AQ$5*(F43/(J43^(5/2))))+(AR43*($AQ$5*(F43/(J43^(5/2))))^2)+(AS43*($AQ$5*(F43/(J43^(5/2))))^3)+(AT43*($AQ$5*(F43/(J43^(5/2))))^4)+(AU43*($AQ$5*(F43/(J43^(5/2))))^5)-(0.5*I43)),IF(G43="2",L43*(AP43+(AQ43*$AQ$5*(F43/(M43*L43^(3/2))))+(AR43*($AQ$5*(F43/(M43*L43^(3/2))))^2)+(AS43*($AQ$5*(F43/(M43*L43^(3/2))))^3)+(AT43*($AQ$5*(F43/(M43*L43^(3/2))))^4)+(AU43*($AQ$5*(F43/(M43*L43^(3/2))))^5)-(0.5*I43)),""))</f>
        <v>0.27446149925080426</v>
      </c>
      <c r="AX43" s="157">
        <v>10.25</v>
      </c>
      <c r="AY43" s="120">
        <f t="shared" ref="AY43:AY74" si="70">AX43*I43</f>
        <v>0.20500000000000002</v>
      </c>
      <c r="AZ43" s="39">
        <f t="shared" ref="AZ43:AZ74" si="71">IF(G43="1",(U43^2)/(2*9.81),IF(G43="2",(AH43^2)/(2*9.81),""))</f>
        <v>6.2697347019012376E-2</v>
      </c>
      <c r="BA43" s="118">
        <f t="shared" ref="BA43:BA74" si="72">IF(G43="1",0.2,IF(G43="2",0.5,""))</f>
        <v>0.2</v>
      </c>
      <c r="BB43" s="39">
        <f t="shared" si="48"/>
        <v>1.2539469403802475E-2</v>
      </c>
      <c r="BC43" s="39">
        <f t="shared" ref="BC43:BC74" si="73">IF(G43="1",AX43*((U43*H43)^2)/(S43^(4/3)),IF(G43="2",AX43*((AH43*H43)^2)/(AF43^(4/3)),""))</f>
        <v>0.13379747571189343</v>
      </c>
      <c r="BD43" s="39">
        <f t="shared" ref="BD43:BD74" si="74">AZ43+BB43+BC43</f>
        <v>0.20903429213470828</v>
      </c>
      <c r="BE43" s="39">
        <f t="shared" ref="BE43:BE74" si="75">IF(G43="1",((J43+N43)/2),((L43+AB43)/2))</f>
        <v>0.69087974790409368</v>
      </c>
      <c r="BF43" s="39">
        <f t="shared" ref="BF43:BF74" si="76">BD43+BE43-(AX43*I43)</f>
        <v>0.69491404003880186</v>
      </c>
      <c r="BG43" s="39">
        <f t="shared" si="49"/>
        <v>0.69491404003880186</v>
      </c>
      <c r="BH43" s="39">
        <f t="shared" si="50"/>
        <v>0.40826170003233486</v>
      </c>
      <c r="BI43" s="39">
        <f t="shared" si="51"/>
        <v>0.57909503336566825</v>
      </c>
      <c r="BK43" s="129" t="str">
        <f t="shared" si="52"/>
        <v>0</v>
      </c>
      <c r="BL43" s="120" t="str">
        <f t="shared" si="53"/>
        <v>0</v>
      </c>
      <c r="BM43" s="120" t="str">
        <f t="shared" si="54"/>
        <v>No válido</v>
      </c>
      <c r="BN43" s="36"/>
      <c r="BO43" s="129" t="str">
        <f t="shared" ref="BO43:BO74" si="77">IF(BH43&lt;1.5,"1","0")</f>
        <v>1</v>
      </c>
      <c r="BP43" s="120" t="str">
        <f t="shared" si="55"/>
        <v>0</v>
      </c>
      <c r="BQ43" s="120" t="str">
        <f t="shared" ref="BQ43:BQ74" si="78">IF(G43="1",IF(I43&lt;V43,"1","0"),IF(I43&lt;AI43,"1","0"))</f>
        <v>0</v>
      </c>
      <c r="BR43" s="120" t="str">
        <f t="shared" ref="BR43:BR74" si="79">IF((BO43+BP43+BQ43)=3,"Válido","No válido")</f>
        <v>No válido</v>
      </c>
      <c r="BT43" s="129" t="str">
        <f t="shared" si="56"/>
        <v>0</v>
      </c>
      <c r="BU43" s="120" t="str">
        <f t="shared" si="57"/>
        <v>1</v>
      </c>
      <c r="BV43" s="120" t="str">
        <f t="shared" si="58"/>
        <v>No válido</v>
      </c>
      <c r="BX43" s="129" t="str">
        <f t="shared" si="59"/>
        <v>1</v>
      </c>
      <c r="BY43" s="129" t="str">
        <f t="shared" ref="BY43:BY74" si="80">IF(G43="1",IF(BE43&lt;N43,"1","0"),IF(BE43&lt;AB43,"1","0"))</f>
        <v>0</v>
      </c>
      <c r="BZ43" s="27" t="str">
        <f t="shared" ref="BZ43:BZ74" si="81">IF(G43="1",IF(I43&gt;V43,"1","0"),IF(I43&gt;AI43,"1","0"))</f>
        <v>1</v>
      </c>
      <c r="CA43" s="120" t="str">
        <f t="shared" si="60"/>
        <v>No válido</v>
      </c>
      <c r="CC43" s="129" t="str">
        <f t="shared" si="61"/>
        <v>1</v>
      </c>
      <c r="CD43" s="129" t="str">
        <f t="shared" ref="CD43:CD74" si="82">IF(G43="1",IF(BE43&gt;N43,"1","0"),IF(BE43&gt;AB43,"1","0"))</f>
        <v>1</v>
      </c>
      <c r="CE43" s="129" t="str">
        <f t="shared" ref="CE43:CE74" si="83">IF(G43="1",IF(BE43&gt;J43,"1","0"),IF(BE43&gt;L43,"1","0"))</f>
        <v>0</v>
      </c>
      <c r="CF43" s="120" t="str">
        <f t="shared" si="62"/>
        <v>No válido</v>
      </c>
    </row>
    <row r="44" spans="1:84" x14ac:dyDescent="0.25">
      <c r="A44" s="150" t="s">
        <v>78</v>
      </c>
      <c r="D44" s="120">
        <v>34</v>
      </c>
      <c r="E44" s="24">
        <f>'Cálculos - Distintas Ecuaciones'!F49</f>
        <v>9778</v>
      </c>
      <c r="F44" s="39">
        <f>'Cálculos - Distintas Ecuaciones'!Z49+Cunetas!J112+Cunetas!J113</f>
        <v>7.4639040981610866E-2</v>
      </c>
      <c r="G44" s="50" t="str">
        <f t="shared" si="21"/>
        <v>1</v>
      </c>
      <c r="H44" s="120">
        <f t="shared" si="22"/>
        <v>2.4E-2</v>
      </c>
      <c r="I44" s="20">
        <f t="shared" si="23"/>
        <v>0.02</v>
      </c>
      <c r="J44" s="45">
        <v>1.2</v>
      </c>
      <c r="K44" s="67" t="str">
        <f t="shared" si="24"/>
        <v>Circular</v>
      </c>
      <c r="L44" s="45"/>
      <c r="M44" s="45"/>
      <c r="N44" s="5">
        <v>0.14307571442984762</v>
      </c>
      <c r="O44" s="5">
        <f t="shared" si="25"/>
        <v>1.410219344202079</v>
      </c>
      <c r="P44" s="5">
        <f t="shared" si="26"/>
        <v>0.77774082381267806</v>
      </c>
      <c r="Q44" s="5">
        <f t="shared" si="27"/>
        <v>7.615514681669934E-2</v>
      </c>
      <c r="R44" s="5">
        <f t="shared" si="28"/>
        <v>0.8461316065212473</v>
      </c>
      <c r="S44" s="5">
        <f t="shared" si="29"/>
        <v>9.0003902737779362E-2</v>
      </c>
      <c r="T44" s="117">
        <f t="shared" si="30"/>
        <v>1.0000002423500214</v>
      </c>
      <c r="U44" s="5">
        <f t="shared" si="31"/>
        <v>0.98009187955821753</v>
      </c>
      <c r="V44" s="39">
        <f t="shared" si="32"/>
        <v>1.3717478126449767E-2</v>
      </c>
      <c r="W44" s="46" t="str">
        <f t="shared" si="33"/>
        <v>Aceptable</v>
      </c>
      <c r="X44" s="5">
        <f t="shared" si="34"/>
        <v>5.6788852585673664E-4</v>
      </c>
      <c r="Y44" s="5">
        <f t="shared" si="35"/>
        <v>5.6788825060124376E-4</v>
      </c>
      <c r="Z44" s="5">
        <f t="shared" si="36"/>
        <v>2.7525549287782392E-10</v>
      </c>
      <c r="AB44" s="120"/>
      <c r="AC44" s="120" t="str">
        <f t="shared" si="37"/>
        <v/>
      </c>
      <c r="AD44" s="120" t="str">
        <f t="shared" si="38"/>
        <v/>
      </c>
      <c r="AE44" s="120" t="str">
        <f t="shared" si="39"/>
        <v/>
      </c>
      <c r="AF44" s="120" t="str">
        <f t="shared" si="40"/>
        <v/>
      </c>
      <c r="AG44" s="120" t="str">
        <f t="shared" si="41"/>
        <v/>
      </c>
      <c r="AH44" s="120" t="str">
        <f t="shared" si="42"/>
        <v/>
      </c>
      <c r="AI44" s="120" t="str">
        <f t="shared" si="43"/>
        <v/>
      </c>
      <c r="AJ44" s="46" t="str">
        <f t="shared" si="44"/>
        <v/>
      </c>
      <c r="AK44" s="120" t="str">
        <f t="shared" si="45"/>
        <v/>
      </c>
      <c r="AL44" s="120" t="str">
        <f t="shared" si="46"/>
        <v/>
      </c>
      <c r="AM44" s="120" t="str">
        <f t="shared" si="47"/>
        <v/>
      </c>
      <c r="AN44" s="211">
        <v>0</v>
      </c>
      <c r="AP44" s="39">
        <f t="shared" si="63"/>
        <v>0.167433</v>
      </c>
      <c r="AQ44" s="39">
        <f t="shared" si="64"/>
        <v>0.53859500000000005</v>
      </c>
      <c r="AR44" s="39">
        <f t="shared" si="65"/>
        <v>-0.14937</v>
      </c>
      <c r="AS44" s="39">
        <f t="shared" si="66"/>
        <v>3.9154000000000001E-2</v>
      </c>
      <c r="AT44" s="39">
        <f t="shared" si="67"/>
        <v>-3.4399999999999999E-3</v>
      </c>
      <c r="AU44" s="39">
        <f t="shared" si="68"/>
        <v>1.16E-4</v>
      </c>
      <c r="AV44" s="39">
        <f t="shared" si="69"/>
        <v>0.2430246025929523</v>
      </c>
      <c r="AX44" s="157">
        <v>9.5500000000000007</v>
      </c>
      <c r="AY44" s="120">
        <f t="shared" si="70"/>
        <v>0.19100000000000003</v>
      </c>
      <c r="AZ44" s="39">
        <f t="shared" si="71"/>
        <v>4.8959229988581016E-2</v>
      </c>
      <c r="BA44" s="118">
        <f t="shared" si="72"/>
        <v>0.2</v>
      </c>
      <c r="BB44" s="39">
        <f t="shared" si="48"/>
        <v>9.7918459977162035E-3</v>
      </c>
      <c r="BC44" s="39">
        <f t="shared" si="73"/>
        <v>0.13100191610759529</v>
      </c>
      <c r="BD44" s="39">
        <f t="shared" si="74"/>
        <v>0.18975299209389251</v>
      </c>
      <c r="BE44" s="39">
        <f t="shared" si="75"/>
        <v>0.67153785721492376</v>
      </c>
      <c r="BF44" s="39">
        <f t="shared" si="76"/>
        <v>0.67029084930881622</v>
      </c>
      <c r="BG44" s="39">
        <f t="shared" si="49"/>
        <v>0.67029084930881622</v>
      </c>
      <c r="BH44" s="39">
        <f t="shared" si="50"/>
        <v>0.39940904109068015</v>
      </c>
      <c r="BI44" s="39">
        <f t="shared" ref="BI44:BI75" si="84">IF(G44="1",BF44/J44,IF(G44="2",BF44/L44))</f>
        <v>0.55857570775734688</v>
      </c>
      <c r="BK44" s="129" t="str">
        <f t="shared" si="52"/>
        <v>0</v>
      </c>
      <c r="BL44" s="120" t="str">
        <f t="shared" si="53"/>
        <v>0</v>
      </c>
      <c r="BM44" s="120" t="str">
        <f t="shared" si="54"/>
        <v>No válido</v>
      </c>
      <c r="BN44" s="36"/>
      <c r="BO44" s="129" t="str">
        <f t="shared" si="77"/>
        <v>1</v>
      </c>
      <c r="BP44" s="120" t="str">
        <f t="shared" ref="BP44:BP75" si="85">IF(G44="1",IF(BF44&lt;N44,"1","0"),IF(BF44&lt;AB44,"1","0"))</f>
        <v>0</v>
      </c>
      <c r="BQ44" s="120" t="str">
        <f t="shared" si="78"/>
        <v>0</v>
      </c>
      <c r="BR44" s="120" t="str">
        <f t="shared" si="79"/>
        <v>No válido</v>
      </c>
      <c r="BT44" s="129" t="str">
        <f t="shared" si="56"/>
        <v>0</v>
      </c>
      <c r="BU44" s="120" t="str">
        <f t="shared" si="57"/>
        <v>1</v>
      </c>
      <c r="BV44" s="120" t="str">
        <f t="shared" si="58"/>
        <v>No válido</v>
      </c>
      <c r="BX44" s="129" t="str">
        <f t="shared" si="59"/>
        <v>1</v>
      </c>
      <c r="BY44" s="129" t="str">
        <f t="shared" si="80"/>
        <v>0</v>
      </c>
      <c r="BZ44" s="27" t="str">
        <f t="shared" si="81"/>
        <v>1</v>
      </c>
      <c r="CA44" s="120" t="str">
        <f t="shared" si="60"/>
        <v>No válido</v>
      </c>
      <c r="CC44" s="129" t="str">
        <f t="shared" si="61"/>
        <v>1</v>
      </c>
      <c r="CD44" s="129" t="str">
        <f t="shared" si="82"/>
        <v>1</v>
      </c>
      <c r="CE44" s="129" t="str">
        <f t="shared" si="83"/>
        <v>0</v>
      </c>
      <c r="CF44" s="120" t="str">
        <f t="shared" si="62"/>
        <v>No válido</v>
      </c>
    </row>
    <row r="45" spans="1:84" x14ac:dyDescent="0.25">
      <c r="A45" s="150" t="s">
        <v>162</v>
      </c>
      <c r="B45" t="s">
        <v>305</v>
      </c>
      <c r="D45" s="120">
        <v>35</v>
      </c>
      <c r="E45" s="24">
        <f>'Cálculos - Distintas Ecuaciones'!F50</f>
        <v>10468.5</v>
      </c>
      <c r="F45" s="39">
        <f>'Cálculos - Distintas Ecuaciones'!Z50+Cunetas!J114+Cunetas!J115+Cunetas!J116+Cunetas!J117+Cunetas!J118</f>
        <v>0.28482514345452892</v>
      </c>
      <c r="G45" s="50" t="str">
        <f t="shared" si="21"/>
        <v>1</v>
      </c>
      <c r="H45" s="120">
        <f t="shared" si="22"/>
        <v>2.4E-2</v>
      </c>
      <c r="I45" s="20">
        <f t="shared" si="23"/>
        <v>0.02</v>
      </c>
      <c r="J45" s="45">
        <v>1.2</v>
      </c>
      <c r="K45" s="67" t="str">
        <f t="shared" si="24"/>
        <v>Circular</v>
      </c>
      <c r="L45" s="45"/>
      <c r="M45" s="45"/>
      <c r="N45" s="5">
        <v>0.28286534344267705</v>
      </c>
      <c r="O45" s="5">
        <f t="shared" si="25"/>
        <v>2.0277912352960961</v>
      </c>
      <c r="P45" s="5">
        <f t="shared" si="26"/>
        <v>1.0186768076485668</v>
      </c>
      <c r="Q45" s="5">
        <f t="shared" si="27"/>
        <v>0.20347356258502805</v>
      </c>
      <c r="R45" s="5">
        <f t="shared" si="28"/>
        <v>1.2166747411776575</v>
      </c>
      <c r="S45" s="5">
        <f t="shared" si="29"/>
        <v>0.16723743470508776</v>
      </c>
      <c r="T45" s="117">
        <f t="shared" si="30"/>
        <v>1.0000001075303855</v>
      </c>
      <c r="U45" s="5">
        <f t="shared" si="31"/>
        <v>1.3998140094269271</v>
      </c>
      <c r="V45" s="39">
        <f t="shared" si="32"/>
        <v>1.2249503660254919E-2</v>
      </c>
      <c r="W45" s="46" t="str">
        <f t="shared" si="33"/>
        <v>Aceptable</v>
      </c>
      <c r="X45" s="5">
        <f t="shared" si="34"/>
        <v>8.2696597700196717E-3</v>
      </c>
      <c r="Y45" s="5">
        <f t="shared" si="35"/>
        <v>8.269657991540556E-3</v>
      </c>
      <c r="Z45" s="5">
        <f t="shared" si="36"/>
        <v>1.7784791157132718E-9</v>
      </c>
      <c r="AB45" s="120"/>
      <c r="AC45" s="120" t="str">
        <f t="shared" si="37"/>
        <v/>
      </c>
      <c r="AD45" s="120" t="str">
        <f t="shared" si="38"/>
        <v/>
      </c>
      <c r="AE45" s="120" t="str">
        <f t="shared" si="39"/>
        <v/>
      </c>
      <c r="AF45" s="120" t="str">
        <f t="shared" si="40"/>
        <v/>
      </c>
      <c r="AG45" s="120" t="str">
        <f t="shared" si="41"/>
        <v/>
      </c>
      <c r="AH45" s="120" t="str">
        <f t="shared" si="42"/>
        <v/>
      </c>
      <c r="AI45" s="120" t="str">
        <f t="shared" si="43"/>
        <v/>
      </c>
      <c r="AJ45" s="46" t="str">
        <f t="shared" si="44"/>
        <v/>
      </c>
      <c r="AK45" s="120" t="str">
        <f t="shared" si="45"/>
        <v/>
      </c>
      <c r="AL45" s="120" t="str">
        <f t="shared" si="46"/>
        <v/>
      </c>
      <c r="AM45" s="120" t="str">
        <f t="shared" si="47"/>
        <v/>
      </c>
      <c r="AN45" s="211">
        <v>23</v>
      </c>
      <c r="AP45" s="39">
        <f t="shared" si="63"/>
        <v>0.167433</v>
      </c>
      <c r="AQ45" s="39">
        <f t="shared" si="64"/>
        <v>0.53859500000000005</v>
      </c>
      <c r="AR45" s="39">
        <f t="shared" si="65"/>
        <v>-0.14937</v>
      </c>
      <c r="AS45" s="39">
        <f t="shared" si="66"/>
        <v>3.9154000000000001E-2</v>
      </c>
      <c r="AT45" s="39">
        <f t="shared" si="67"/>
        <v>-3.4399999999999999E-3</v>
      </c>
      <c r="AU45" s="39">
        <f t="shared" si="68"/>
        <v>1.16E-4</v>
      </c>
      <c r="AV45" s="39">
        <f t="shared" si="69"/>
        <v>0.38272272090424103</v>
      </c>
      <c r="AX45" s="157">
        <v>11.35</v>
      </c>
      <c r="AY45" s="120">
        <f t="shared" si="70"/>
        <v>0.22700000000000001</v>
      </c>
      <c r="AZ45" s="39">
        <f t="shared" si="71"/>
        <v>9.9871521966762952E-2</v>
      </c>
      <c r="BA45" s="118">
        <f t="shared" si="72"/>
        <v>0.2</v>
      </c>
      <c r="BB45" s="39">
        <f t="shared" si="48"/>
        <v>1.9974304393352592E-2</v>
      </c>
      <c r="BC45" s="39">
        <f t="shared" si="73"/>
        <v>0.13903186654389332</v>
      </c>
      <c r="BD45" s="39">
        <f t="shared" si="74"/>
        <v>0.25887769290400886</v>
      </c>
      <c r="BE45" s="39">
        <f t="shared" si="75"/>
        <v>0.74143267172133853</v>
      </c>
      <c r="BF45" s="39">
        <f t="shared" si="76"/>
        <v>0.77331036462534752</v>
      </c>
      <c r="BG45" s="39">
        <f t="shared" si="49"/>
        <v>0.77331036462534752</v>
      </c>
      <c r="BH45" s="39">
        <f t="shared" si="50"/>
        <v>0.45525863718778964</v>
      </c>
      <c r="BI45" s="39">
        <f t="shared" si="84"/>
        <v>0.64442530385445629</v>
      </c>
      <c r="BK45" s="129" t="str">
        <f t="shared" si="52"/>
        <v>0</v>
      </c>
      <c r="BL45" s="120" t="str">
        <f t="shared" si="53"/>
        <v>0</v>
      </c>
      <c r="BM45" s="120" t="str">
        <f t="shared" si="54"/>
        <v>No válido</v>
      </c>
      <c r="BN45" s="36"/>
      <c r="BO45" s="129" t="str">
        <f t="shared" si="77"/>
        <v>1</v>
      </c>
      <c r="BP45" s="120" t="str">
        <f t="shared" si="85"/>
        <v>0</v>
      </c>
      <c r="BQ45" s="120" t="str">
        <f t="shared" si="78"/>
        <v>0</v>
      </c>
      <c r="BR45" s="120" t="str">
        <f t="shared" si="79"/>
        <v>No válido</v>
      </c>
      <c r="BT45" s="129" t="str">
        <f t="shared" si="56"/>
        <v>0</v>
      </c>
      <c r="BU45" s="120" t="str">
        <f t="shared" si="57"/>
        <v>1</v>
      </c>
      <c r="BV45" s="120" t="str">
        <f t="shared" si="58"/>
        <v>No válido</v>
      </c>
      <c r="BX45" s="129" t="str">
        <f t="shared" si="59"/>
        <v>1</v>
      </c>
      <c r="BY45" s="129" t="str">
        <f t="shared" si="80"/>
        <v>0</v>
      </c>
      <c r="BZ45" s="27" t="str">
        <f t="shared" si="81"/>
        <v>1</v>
      </c>
      <c r="CA45" s="120" t="str">
        <f t="shared" si="60"/>
        <v>No válido</v>
      </c>
      <c r="CC45" s="129" t="str">
        <f t="shared" si="61"/>
        <v>1</v>
      </c>
      <c r="CD45" s="129" t="str">
        <f t="shared" si="82"/>
        <v>1</v>
      </c>
      <c r="CE45" s="129" t="str">
        <f t="shared" si="83"/>
        <v>0</v>
      </c>
      <c r="CF45" s="120" t="str">
        <f t="shared" si="62"/>
        <v>No válido</v>
      </c>
    </row>
    <row r="46" spans="1:84" x14ac:dyDescent="0.25">
      <c r="A46" s="150" t="s">
        <v>80</v>
      </c>
      <c r="D46" s="120">
        <v>36</v>
      </c>
      <c r="E46" s="24">
        <f>'Cálculos - Distintas Ecuaciones'!F51</f>
        <v>10665</v>
      </c>
      <c r="F46" s="39">
        <f>'Cálculos - Distintas Ecuaciones'!Z51+Cunetas!J119+Cunetas!J120</f>
        <v>0.23867015975116174</v>
      </c>
      <c r="G46" s="50" t="str">
        <f t="shared" si="21"/>
        <v>1</v>
      </c>
      <c r="H46" s="120">
        <f t="shared" si="22"/>
        <v>2.4E-2</v>
      </c>
      <c r="I46" s="20">
        <f t="shared" si="23"/>
        <v>0.02</v>
      </c>
      <c r="J46" s="45">
        <v>1.2</v>
      </c>
      <c r="K46" s="67" t="str">
        <f t="shared" si="24"/>
        <v>Circular</v>
      </c>
      <c r="L46" s="45"/>
      <c r="M46" s="45"/>
      <c r="N46" s="5">
        <v>0.25838966004539676</v>
      </c>
      <c r="O46" s="5">
        <f t="shared" si="25"/>
        <v>1.9301613234148771</v>
      </c>
      <c r="P46" s="5">
        <f t="shared" si="26"/>
        <v>0.98651381264754801</v>
      </c>
      <c r="Q46" s="5">
        <f t="shared" si="27"/>
        <v>0.17892737876045753</v>
      </c>
      <c r="R46" s="5">
        <f t="shared" si="28"/>
        <v>1.1580967940489262</v>
      </c>
      <c r="S46" s="5">
        <f t="shared" si="29"/>
        <v>0.15450122967260227</v>
      </c>
      <c r="T46" s="117">
        <f t="shared" si="30"/>
        <v>1.0000000133361475</v>
      </c>
      <c r="U46" s="5">
        <f t="shared" si="31"/>
        <v>1.3338940155753694</v>
      </c>
      <c r="V46" s="39">
        <f t="shared" si="32"/>
        <v>1.2362013435063827E-2</v>
      </c>
      <c r="W46" s="46" t="str">
        <f t="shared" si="33"/>
        <v>Aceptable</v>
      </c>
      <c r="X46" s="5">
        <f t="shared" si="34"/>
        <v>5.8066712696885894E-3</v>
      </c>
      <c r="Y46" s="5">
        <f t="shared" si="35"/>
        <v>5.8066711148113438E-3</v>
      </c>
      <c r="Z46" s="5">
        <f t="shared" si="36"/>
        <v>1.5487724557700089E-10</v>
      </c>
      <c r="AB46" s="120"/>
      <c r="AC46" s="120" t="str">
        <f t="shared" si="37"/>
        <v/>
      </c>
      <c r="AD46" s="120" t="str">
        <f t="shared" si="38"/>
        <v/>
      </c>
      <c r="AE46" s="120" t="str">
        <f t="shared" si="39"/>
        <v/>
      </c>
      <c r="AF46" s="120" t="str">
        <f t="shared" si="40"/>
        <v/>
      </c>
      <c r="AG46" s="120" t="str">
        <f t="shared" si="41"/>
        <v/>
      </c>
      <c r="AH46" s="120" t="str">
        <f t="shared" si="42"/>
        <v/>
      </c>
      <c r="AI46" s="120" t="str">
        <f t="shared" si="43"/>
        <v/>
      </c>
      <c r="AJ46" s="46" t="str">
        <f t="shared" si="44"/>
        <v/>
      </c>
      <c r="AK46" s="120" t="str">
        <f t="shared" si="45"/>
        <v/>
      </c>
      <c r="AL46" s="120" t="str">
        <f t="shared" si="46"/>
        <v/>
      </c>
      <c r="AM46" s="120" t="str">
        <f t="shared" si="47"/>
        <v/>
      </c>
      <c r="AN46" s="211">
        <v>-7</v>
      </c>
      <c r="AP46" s="39">
        <f t="shared" si="63"/>
        <v>0.167433</v>
      </c>
      <c r="AQ46" s="39">
        <f t="shared" si="64"/>
        <v>0.53859500000000005</v>
      </c>
      <c r="AR46" s="39">
        <f t="shared" si="65"/>
        <v>-0.14937</v>
      </c>
      <c r="AS46" s="39">
        <f t="shared" si="66"/>
        <v>3.9154000000000001E-2</v>
      </c>
      <c r="AT46" s="39">
        <f t="shared" si="67"/>
        <v>-3.4399999999999999E-3</v>
      </c>
      <c r="AU46" s="39">
        <f t="shared" si="68"/>
        <v>1.16E-4</v>
      </c>
      <c r="AV46" s="39">
        <f t="shared" si="69"/>
        <v>0.3535268139981792</v>
      </c>
      <c r="AX46" s="157">
        <v>13.25</v>
      </c>
      <c r="AY46" s="120">
        <f t="shared" si="70"/>
        <v>0.26500000000000001</v>
      </c>
      <c r="AZ46" s="39">
        <f t="shared" si="71"/>
        <v>9.0686709724147996E-2</v>
      </c>
      <c r="BA46" s="118">
        <f t="shared" si="72"/>
        <v>0.2</v>
      </c>
      <c r="BB46" s="39">
        <f t="shared" si="48"/>
        <v>1.8137341944829601E-2</v>
      </c>
      <c r="BC46" s="39">
        <f t="shared" si="73"/>
        <v>0.16379667801459571</v>
      </c>
      <c r="BD46" s="39">
        <f t="shared" si="74"/>
        <v>0.27262072968357332</v>
      </c>
      <c r="BE46" s="39">
        <f t="shared" si="75"/>
        <v>0.72919483002269836</v>
      </c>
      <c r="BF46" s="39">
        <f t="shared" si="76"/>
        <v>0.73681555970627166</v>
      </c>
      <c r="BG46" s="39">
        <f t="shared" si="49"/>
        <v>0.73681555970627166</v>
      </c>
      <c r="BH46" s="39">
        <f t="shared" si="50"/>
        <v>0.39317963308855974</v>
      </c>
      <c r="BI46" s="39">
        <f t="shared" si="84"/>
        <v>0.61401296642189307</v>
      </c>
      <c r="BK46" s="129" t="str">
        <f t="shared" si="52"/>
        <v>0</v>
      </c>
      <c r="BL46" s="120" t="str">
        <f t="shared" si="53"/>
        <v>0</v>
      </c>
      <c r="BM46" s="120" t="str">
        <f t="shared" si="54"/>
        <v>No válido</v>
      </c>
      <c r="BN46" s="36"/>
      <c r="BO46" s="129" t="str">
        <f t="shared" si="77"/>
        <v>1</v>
      </c>
      <c r="BP46" s="120" t="str">
        <f t="shared" si="85"/>
        <v>0</v>
      </c>
      <c r="BQ46" s="120" t="str">
        <f t="shared" si="78"/>
        <v>0</v>
      </c>
      <c r="BR46" s="120" t="str">
        <f t="shared" si="79"/>
        <v>No válido</v>
      </c>
      <c r="BT46" s="129" t="str">
        <f t="shared" si="56"/>
        <v>0</v>
      </c>
      <c r="BU46" s="120" t="str">
        <f t="shared" si="57"/>
        <v>1</v>
      </c>
      <c r="BV46" s="120" t="str">
        <f t="shared" si="58"/>
        <v>No válido</v>
      </c>
      <c r="BX46" s="129" t="str">
        <f t="shared" si="59"/>
        <v>1</v>
      </c>
      <c r="BY46" s="129" t="str">
        <f t="shared" si="80"/>
        <v>0</v>
      </c>
      <c r="BZ46" s="27" t="str">
        <f t="shared" si="81"/>
        <v>1</v>
      </c>
      <c r="CA46" s="120" t="str">
        <f t="shared" si="60"/>
        <v>No válido</v>
      </c>
      <c r="CC46" s="129" t="str">
        <f t="shared" si="61"/>
        <v>1</v>
      </c>
      <c r="CD46" s="129" t="str">
        <f t="shared" si="82"/>
        <v>1</v>
      </c>
      <c r="CE46" s="129" t="str">
        <f t="shared" si="83"/>
        <v>0</v>
      </c>
      <c r="CF46" s="120" t="str">
        <f t="shared" si="62"/>
        <v>No válido</v>
      </c>
    </row>
    <row r="47" spans="1:84" x14ac:dyDescent="0.25">
      <c r="A47" s="150" t="s">
        <v>80</v>
      </c>
      <c r="C47" s="2" t="s">
        <v>17</v>
      </c>
      <c r="D47" s="120">
        <v>37</v>
      </c>
      <c r="E47" s="24">
        <f>'Cálculos - Distintas Ecuaciones'!F52</f>
        <v>10985.5</v>
      </c>
      <c r="F47" s="39">
        <f>'Cálculos - Distintas Ecuaciones'!Z52+Cunetas!J121</f>
        <v>8.775405611958681E-2</v>
      </c>
      <c r="G47" s="50" t="str">
        <f t="shared" si="21"/>
        <v>1</v>
      </c>
      <c r="H47" s="120">
        <f t="shared" si="22"/>
        <v>2.4E-2</v>
      </c>
      <c r="I47" s="20">
        <f t="shared" si="23"/>
        <v>0.02</v>
      </c>
      <c r="J47" s="45">
        <v>1.2</v>
      </c>
      <c r="K47" s="67" t="str">
        <f t="shared" si="24"/>
        <v>Circular</v>
      </c>
      <c r="L47" s="45"/>
      <c r="M47" s="45"/>
      <c r="N47" s="5">
        <v>0.15529931720385826</v>
      </c>
      <c r="O47" s="5">
        <f t="shared" si="25"/>
        <v>1.4719761390494421</v>
      </c>
      <c r="P47" s="5">
        <f t="shared" si="26"/>
        <v>0.80558377024526806</v>
      </c>
      <c r="Q47" s="5">
        <f t="shared" si="27"/>
        <v>8.5833878690119075E-2</v>
      </c>
      <c r="R47" s="5">
        <f t="shared" si="28"/>
        <v>0.8831856834296653</v>
      </c>
      <c r="S47" s="5">
        <f t="shared" si="29"/>
        <v>9.7186673539364124E-2</v>
      </c>
      <c r="T47" s="117">
        <f t="shared" si="30"/>
        <v>0.99999986795952167</v>
      </c>
      <c r="U47" s="5">
        <f t="shared" si="31"/>
        <v>1.0223708570411927</v>
      </c>
      <c r="V47" s="39">
        <f t="shared" si="32"/>
        <v>1.3474017776083081E-2</v>
      </c>
      <c r="W47" s="46" t="str">
        <f t="shared" si="33"/>
        <v>Aceptable</v>
      </c>
      <c r="X47" s="5">
        <f t="shared" si="34"/>
        <v>7.8499229005500419E-4</v>
      </c>
      <c r="Y47" s="5">
        <f t="shared" si="35"/>
        <v>7.8499249735656E-4</v>
      </c>
      <c r="Z47" s="5">
        <f t="shared" si="36"/>
        <v>-2.073015558040972E-10</v>
      </c>
      <c r="AB47" s="120"/>
      <c r="AC47" s="120" t="str">
        <f t="shared" si="37"/>
        <v/>
      </c>
      <c r="AD47" s="120" t="str">
        <f t="shared" si="38"/>
        <v/>
      </c>
      <c r="AE47" s="120" t="str">
        <f t="shared" si="39"/>
        <v/>
      </c>
      <c r="AF47" s="120" t="str">
        <f t="shared" si="40"/>
        <v/>
      </c>
      <c r="AG47" s="120" t="str">
        <f t="shared" si="41"/>
        <v/>
      </c>
      <c r="AH47" s="120" t="str">
        <f t="shared" si="42"/>
        <v/>
      </c>
      <c r="AI47" s="120" t="str">
        <f t="shared" si="43"/>
        <v/>
      </c>
      <c r="AJ47" s="46" t="str">
        <f t="shared" si="44"/>
        <v/>
      </c>
      <c r="AK47" s="120" t="str">
        <f t="shared" si="45"/>
        <v/>
      </c>
      <c r="AL47" s="120" t="str">
        <f t="shared" si="46"/>
        <v/>
      </c>
      <c r="AM47" s="120" t="str">
        <f t="shared" si="47"/>
        <v/>
      </c>
      <c r="AN47" s="211">
        <v>12</v>
      </c>
      <c r="AP47" s="39">
        <f t="shared" si="63"/>
        <v>0.167433</v>
      </c>
      <c r="AQ47" s="39">
        <f t="shared" si="64"/>
        <v>0.53859500000000005</v>
      </c>
      <c r="AR47" s="39">
        <f t="shared" si="65"/>
        <v>-0.14937</v>
      </c>
      <c r="AS47" s="39">
        <f t="shared" si="66"/>
        <v>3.9154000000000001E-2</v>
      </c>
      <c r="AT47" s="39">
        <f t="shared" si="67"/>
        <v>-3.4399999999999999E-3</v>
      </c>
      <c r="AU47" s="39">
        <f t="shared" si="68"/>
        <v>1.16E-4</v>
      </c>
      <c r="AV47" s="39">
        <f t="shared" si="69"/>
        <v>0.25227266741425614</v>
      </c>
      <c r="AX47" s="157">
        <v>10.65</v>
      </c>
      <c r="AY47" s="120">
        <f t="shared" si="70"/>
        <v>0.21300000000000002</v>
      </c>
      <c r="AZ47" s="39">
        <f t="shared" si="71"/>
        <v>5.3274320556938974E-2</v>
      </c>
      <c r="BA47" s="118">
        <f t="shared" si="72"/>
        <v>0.2</v>
      </c>
      <c r="BB47" s="39">
        <f t="shared" si="48"/>
        <v>1.0654864111387795E-2</v>
      </c>
      <c r="BC47" s="39">
        <f t="shared" si="73"/>
        <v>0.14349828931528483</v>
      </c>
      <c r="BD47" s="39">
        <f t="shared" si="74"/>
        <v>0.20742747398361161</v>
      </c>
      <c r="BE47" s="39">
        <f t="shared" si="75"/>
        <v>0.67764965860192916</v>
      </c>
      <c r="BF47" s="39">
        <f t="shared" si="76"/>
        <v>0.6720771325855408</v>
      </c>
      <c r="BG47" s="39">
        <f t="shared" si="49"/>
        <v>0.6720771325855408</v>
      </c>
      <c r="BH47" s="39">
        <f t="shared" si="50"/>
        <v>0.38256427715461733</v>
      </c>
      <c r="BI47" s="39">
        <f t="shared" si="84"/>
        <v>0.56006427715461737</v>
      </c>
      <c r="BK47" s="129" t="str">
        <f t="shared" si="52"/>
        <v>0</v>
      </c>
      <c r="BL47" s="120" t="str">
        <f t="shared" si="53"/>
        <v>0</v>
      </c>
      <c r="BM47" s="120" t="str">
        <f t="shared" si="54"/>
        <v>No válido</v>
      </c>
      <c r="BN47" s="36"/>
      <c r="BO47" s="129" t="str">
        <f t="shared" si="77"/>
        <v>1</v>
      </c>
      <c r="BP47" s="120" t="str">
        <f t="shared" si="85"/>
        <v>0</v>
      </c>
      <c r="BQ47" s="120" t="str">
        <f t="shared" si="78"/>
        <v>0</v>
      </c>
      <c r="BR47" s="120" t="str">
        <f t="shared" si="79"/>
        <v>No válido</v>
      </c>
      <c r="BT47" s="129" t="str">
        <f t="shared" si="56"/>
        <v>0</v>
      </c>
      <c r="BU47" s="120" t="str">
        <f t="shared" si="57"/>
        <v>1</v>
      </c>
      <c r="BV47" s="120" t="str">
        <f t="shared" si="58"/>
        <v>No válido</v>
      </c>
      <c r="BX47" s="129" t="str">
        <f t="shared" si="59"/>
        <v>1</v>
      </c>
      <c r="BY47" s="129" t="str">
        <f t="shared" si="80"/>
        <v>0</v>
      </c>
      <c r="BZ47" s="27" t="str">
        <f t="shared" si="81"/>
        <v>1</v>
      </c>
      <c r="CA47" s="120" t="str">
        <f t="shared" si="60"/>
        <v>No válido</v>
      </c>
      <c r="CC47" s="129" t="str">
        <f t="shared" si="61"/>
        <v>1</v>
      </c>
      <c r="CD47" s="129" t="str">
        <f t="shared" si="82"/>
        <v>1</v>
      </c>
      <c r="CE47" s="129" t="str">
        <f t="shared" si="83"/>
        <v>0</v>
      </c>
      <c r="CF47" s="120" t="str">
        <f t="shared" si="62"/>
        <v>No válido</v>
      </c>
    </row>
    <row r="48" spans="1:84" x14ac:dyDescent="0.25">
      <c r="A48" s="150" t="s">
        <v>80</v>
      </c>
      <c r="D48" s="120">
        <v>38</v>
      </c>
      <c r="E48" s="24">
        <f>'Cálculos - Distintas Ecuaciones'!F53</f>
        <v>11095</v>
      </c>
      <c r="F48" s="39">
        <f>'Cálculos - Distintas Ecuaciones'!Z53+Cunetas!J122</f>
        <v>5.0769472803897514E-2</v>
      </c>
      <c r="G48" s="50" t="str">
        <f t="shared" si="21"/>
        <v>1</v>
      </c>
      <c r="H48" s="120">
        <f t="shared" si="22"/>
        <v>2.4E-2</v>
      </c>
      <c r="I48" s="20">
        <f t="shared" si="23"/>
        <v>0.02</v>
      </c>
      <c r="J48" s="45">
        <v>1.2</v>
      </c>
      <c r="K48" s="67" t="str">
        <f t="shared" si="24"/>
        <v>Circular</v>
      </c>
      <c r="L48" s="45"/>
      <c r="M48" s="45"/>
      <c r="N48" s="5">
        <v>0.11774645729090143</v>
      </c>
      <c r="O48" s="5">
        <f t="shared" si="25"/>
        <v>1.2744297643796163</v>
      </c>
      <c r="P48" s="5">
        <f t="shared" si="26"/>
        <v>0.71395103626095691</v>
      </c>
      <c r="Q48" s="5">
        <f t="shared" si="27"/>
        <v>5.7244649309491608E-2</v>
      </c>
      <c r="R48" s="5">
        <f t="shared" si="28"/>
        <v>0.7646578586277698</v>
      </c>
      <c r="S48" s="5">
        <f t="shared" si="29"/>
        <v>7.4863088979718329E-2</v>
      </c>
      <c r="T48" s="117">
        <f t="shared" si="30"/>
        <v>1.0000000354344512</v>
      </c>
      <c r="U48" s="5">
        <f t="shared" si="31"/>
        <v>0.88688590840016801</v>
      </c>
      <c r="V48" s="39">
        <f t="shared" si="32"/>
        <v>1.4359335253006469E-2</v>
      </c>
      <c r="W48" s="46" t="str">
        <f t="shared" si="33"/>
        <v>Aceptable</v>
      </c>
      <c r="X48" s="5">
        <f t="shared" si="34"/>
        <v>2.6274611302606416E-4</v>
      </c>
      <c r="Y48" s="5">
        <f t="shared" si="35"/>
        <v>2.6274609440553651E-4</v>
      </c>
      <c r="Z48" s="5">
        <f t="shared" si="36"/>
        <v>1.8620527645826779E-11</v>
      </c>
      <c r="AB48" s="120"/>
      <c r="AC48" s="120" t="str">
        <f t="shared" si="37"/>
        <v/>
      </c>
      <c r="AD48" s="120" t="str">
        <f t="shared" si="38"/>
        <v/>
      </c>
      <c r="AE48" s="120" t="str">
        <f t="shared" si="39"/>
        <v/>
      </c>
      <c r="AF48" s="120" t="str">
        <f t="shared" si="40"/>
        <v/>
      </c>
      <c r="AG48" s="120" t="str">
        <f t="shared" si="41"/>
        <v/>
      </c>
      <c r="AH48" s="120" t="str">
        <f t="shared" si="42"/>
        <v/>
      </c>
      <c r="AI48" s="120" t="str">
        <f t="shared" si="43"/>
        <v/>
      </c>
      <c r="AJ48" s="46" t="str">
        <f t="shared" si="44"/>
        <v/>
      </c>
      <c r="AK48" s="120" t="str">
        <f t="shared" si="45"/>
        <v/>
      </c>
      <c r="AL48" s="120" t="str">
        <f t="shared" si="46"/>
        <v/>
      </c>
      <c r="AM48" s="120" t="str">
        <f t="shared" si="47"/>
        <v/>
      </c>
      <c r="AN48" s="211">
        <v>56</v>
      </c>
      <c r="AP48" s="39">
        <f t="shared" si="63"/>
        <v>0.167433</v>
      </c>
      <c r="AQ48" s="39">
        <f t="shared" si="64"/>
        <v>0.53859500000000005</v>
      </c>
      <c r="AR48" s="39">
        <f t="shared" si="65"/>
        <v>-0.14937</v>
      </c>
      <c r="AS48" s="39">
        <f t="shared" si="66"/>
        <v>3.9154000000000001E-2</v>
      </c>
      <c r="AT48" s="39">
        <f t="shared" si="67"/>
        <v>-3.4399999999999999E-3</v>
      </c>
      <c r="AU48" s="39">
        <f t="shared" si="68"/>
        <v>1.16E-4</v>
      </c>
      <c r="AV48" s="39">
        <f t="shared" si="69"/>
        <v>0.22599751199648474</v>
      </c>
      <c r="AX48" s="157">
        <v>11.9</v>
      </c>
      <c r="AY48" s="120">
        <f t="shared" si="70"/>
        <v>0.23800000000000002</v>
      </c>
      <c r="AZ48" s="39">
        <f t="shared" si="71"/>
        <v>4.0090041514719219E-2</v>
      </c>
      <c r="BA48" s="118">
        <f t="shared" si="72"/>
        <v>0.2</v>
      </c>
      <c r="BB48" s="39">
        <f t="shared" si="48"/>
        <v>8.0180083029438437E-3</v>
      </c>
      <c r="BC48" s="39">
        <f t="shared" si="73"/>
        <v>0.17087608951077701</v>
      </c>
      <c r="BD48" s="39">
        <f t="shared" si="74"/>
        <v>0.21898413932844008</v>
      </c>
      <c r="BE48" s="39">
        <f t="shared" si="75"/>
        <v>0.65887322864545073</v>
      </c>
      <c r="BF48" s="39">
        <f t="shared" si="76"/>
        <v>0.63985736797389081</v>
      </c>
      <c r="BG48" s="39">
        <f t="shared" si="49"/>
        <v>0.63985736797389081</v>
      </c>
      <c r="BH48" s="39">
        <f t="shared" si="50"/>
        <v>0.33488113997824237</v>
      </c>
      <c r="BI48" s="39">
        <f t="shared" si="84"/>
        <v>0.53321447331157568</v>
      </c>
      <c r="BK48" s="129" t="str">
        <f t="shared" si="52"/>
        <v>0</v>
      </c>
      <c r="BL48" s="120" t="str">
        <f t="shared" si="53"/>
        <v>0</v>
      </c>
      <c r="BM48" s="120" t="str">
        <f t="shared" si="54"/>
        <v>No válido</v>
      </c>
      <c r="BN48" s="36"/>
      <c r="BO48" s="129" t="str">
        <f t="shared" si="77"/>
        <v>1</v>
      </c>
      <c r="BP48" s="120" t="str">
        <f t="shared" si="85"/>
        <v>0</v>
      </c>
      <c r="BQ48" s="120" t="str">
        <f t="shared" si="78"/>
        <v>0</v>
      </c>
      <c r="BR48" s="120" t="str">
        <f t="shared" si="79"/>
        <v>No válido</v>
      </c>
      <c r="BT48" s="129" t="str">
        <f t="shared" si="56"/>
        <v>0</v>
      </c>
      <c r="BU48" s="120" t="str">
        <f t="shared" si="57"/>
        <v>1</v>
      </c>
      <c r="BV48" s="120" t="str">
        <f t="shared" si="58"/>
        <v>No válido</v>
      </c>
      <c r="BX48" s="129" t="str">
        <f t="shared" si="59"/>
        <v>1</v>
      </c>
      <c r="BY48" s="129" t="str">
        <f t="shared" si="80"/>
        <v>0</v>
      </c>
      <c r="BZ48" s="27" t="str">
        <f t="shared" si="81"/>
        <v>1</v>
      </c>
      <c r="CA48" s="120" t="str">
        <f t="shared" si="60"/>
        <v>No válido</v>
      </c>
      <c r="CC48" s="129" t="str">
        <f t="shared" si="61"/>
        <v>1</v>
      </c>
      <c r="CD48" s="129" t="str">
        <f t="shared" si="82"/>
        <v>1</v>
      </c>
      <c r="CE48" s="129" t="str">
        <f t="shared" si="83"/>
        <v>0</v>
      </c>
      <c r="CF48" s="120" t="str">
        <f t="shared" si="62"/>
        <v>No válido</v>
      </c>
    </row>
    <row r="49" spans="1:84" x14ac:dyDescent="0.25">
      <c r="A49" s="150" t="s">
        <v>162</v>
      </c>
      <c r="D49" s="120">
        <v>39</v>
      </c>
      <c r="E49" s="24">
        <f>'Cálculos - Distintas Ecuaciones'!F54</f>
        <v>11531.2</v>
      </c>
      <c r="F49" s="39">
        <f>'Cálculos - Distintas Ecuaciones'!Z54+Cunetas!J123+Cunetas!J124</f>
        <v>0.20435670564039804</v>
      </c>
      <c r="G49" s="50" t="str">
        <f t="shared" si="21"/>
        <v>1</v>
      </c>
      <c r="H49" s="120">
        <f t="shared" si="22"/>
        <v>2.4E-2</v>
      </c>
      <c r="I49" s="20">
        <f t="shared" si="23"/>
        <v>0.02</v>
      </c>
      <c r="J49" s="45">
        <v>1.2</v>
      </c>
      <c r="K49" s="67" t="str">
        <f t="shared" si="24"/>
        <v>Circular</v>
      </c>
      <c r="L49" s="45"/>
      <c r="M49" s="45"/>
      <c r="N49" s="5">
        <v>0.23869030099658625</v>
      </c>
      <c r="O49" s="5">
        <f t="shared" si="25"/>
        <v>1.8491277548677068</v>
      </c>
      <c r="P49" s="5">
        <f t="shared" si="26"/>
        <v>0.95802985633238491</v>
      </c>
      <c r="Q49" s="5">
        <f t="shared" si="27"/>
        <v>0.15977025636231834</v>
      </c>
      <c r="R49" s="5">
        <f t="shared" si="28"/>
        <v>1.1094766529206239</v>
      </c>
      <c r="S49" s="5">
        <f t="shared" si="29"/>
        <v>0.14400506395671664</v>
      </c>
      <c r="T49" s="117">
        <f t="shared" si="30"/>
        <v>1.0000000301358483</v>
      </c>
      <c r="U49" s="5">
        <f t="shared" si="31"/>
        <v>1.2790660182516636</v>
      </c>
      <c r="V49" s="39">
        <f t="shared" si="32"/>
        <v>1.2484506680273282E-2</v>
      </c>
      <c r="W49" s="46" t="str">
        <f t="shared" si="33"/>
        <v>Aceptable</v>
      </c>
      <c r="X49" s="5">
        <f t="shared" si="34"/>
        <v>4.2570502691331585E-3</v>
      </c>
      <c r="Y49" s="5">
        <f t="shared" si="35"/>
        <v>4.2570500125535277E-3</v>
      </c>
      <c r="Z49" s="5">
        <f t="shared" si="36"/>
        <v>2.5657963080571999E-10</v>
      </c>
      <c r="AB49" s="120"/>
      <c r="AC49" s="120" t="str">
        <f t="shared" si="37"/>
        <v/>
      </c>
      <c r="AD49" s="120" t="str">
        <f t="shared" si="38"/>
        <v/>
      </c>
      <c r="AE49" s="120" t="str">
        <f t="shared" si="39"/>
        <v/>
      </c>
      <c r="AF49" s="120" t="str">
        <f t="shared" si="40"/>
        <v/>
      </c>
      <c r="AG49" s="120" t="str">
        <f t="shared" si="41"/>
        <v/>
      </c>
      <c r="AH49" s="120" t="str">
        <f t="shared" si="42"/>
        <v/>
      </c>
      <c r="AI49" s="120" t="str">
        <f t="shared" si="43"/>
        <v/>
      </c>
      <c r="AJ49" s="46" t="str">
        <f t="shared" si="44"/>
        <v/>
      </c>
      <c r="AK49" s="120" t="str">
        <f t="shared" si="45"/>
        <v/>
      </c>
      <c r="AL49" s="120" t="str">
        <f t="shared" si="46"/>
        <v/>
      </c>
      <c r="AM49" s="120" t="str">
        <f t="shared" si="47"/>
        <v/>
      </c>
      <c r="AN49" s="211">
        <v>0</v>
      </c>
      <c r="AP49" s="39">
        <f t="shared" si="63"/>
        <v>0.167433</v>
      </c>
      <c r="AQ49" s="39">
        <f t="shared" si="64"/>
        <v>0.53859500000000005</v>
      </c>
      <c r="AR49" s="39">
        <f t="shared" si="65"/>
        <v>-0.14937</v>
      </c>
      <c r="AS49" s="39">
        <f t="shared" si="66"/>
        <v>3.9154000000000001E-2</v>
      </c>
      <c r="AT49" s="39">
        <f t="shared" si="67"/>
        <v>-3.4399999999999999E-3</v>
      </c>
      <c r="AU49" s="39">
        <f t="shared" si="68"/>
        <v>1.16E-4</v>
      </c>
      <c r="AV49" s="39">
        <f t="shared" si="69"/>
        <v>0.33130490263267637</v>
      </c>
      <c r="AX49" s="157">
        <v>12.95</v>
      </c>
      <c r="AY49" s="120">
        <f t="shared" si="70"/>
        <v>0.25900000000000001</v>
      </c>
      <c r="AZ49" s="39">
        <f t="shared" si="71"/>
        <v>8.3384805252098113E-2</v>
      </c>
      <c r="BA49" s="118">
        <f t="shared" si="72"/>
        <v>0.2</v>
      </c>
      <c r="BB49" s="39">
        <f t="shared" si="48"/>
        <v>1.6676961050419624E-2</v>
      </c>
      <c r="BC49" s="39">
        <f t="shared" si="73"/>
        <v>0.16167436150953896</v>
      </c>
      <c r="BD49" s="39">
        <f t="shared" si="74"/>
        <v>0.26173612781205668</v>
      </c>
      <c r="BE49" s="39">
        <f t="shared" si="75"/>
        <v>0.71934515049829306</v>
      </c>
      <c r="BF49" s="39">
        <f t="shared" si="76"/>
        <v>0.72208127831034974</v>
      </c>
      <c r="BG49" s="39">
        <f t="shared" si="49"/>
        <v>0.72208127831034974</v>
      </c>
      <c r="BH49" s="39">
        <f t="shared" si="50"/>
        <v>0.38590106525862478</v>
      </c>
      <c r="BI49" s="39">
        <f t="shared" si="84"/>
        <v>0.6017343985919581</v>
      </c>
      <c r="BK49" s="129" t="str">
        <f t="shared" si="52"/>
        <v>0</v>
      </c>
      <c r="BL49" s="120" t="str">
        <f t="shared" si="53"/>
        <v>0</v>
      </c>
      <c r="BM49" s="120" t="str">
        <f t="shared" si="54"/>
        <v>No válido</v>
      </c>
      <c r="BN49" s="36"/>
      <c r="BO49" s="129" t="str">
        <f t="shared" si="77"/>
        <v>1</v>
      </c>
      <c r="BP49" s="120" t="str">
        <f t="shared" si="85"/>
        <v>0</v>
      </c>
      <c r="BQ49" s="120" t="str">
        <f t="shared" si="78"/>
        <v>0</v>
      </c>
      <c r="BR49" s="120" t="str">
        <f t="shared" si="79"/>
        <v>No válido</v>
      </c>
      <c r="BT49" s="129" t="str">
        <f t="shared" si="56"/>
        <v>0</v>
      </c>
      <c r="BU49" s="120" t="str">
        <f t="shared" si="57"/>
        <v>1</v>
      </c>
      <c r="BV49" s="120" t="str">
        <f t="shared" si="58"/>
        <v>No válido</v>
      </c>
      <c r="BX49" s="129" t="str">
        <f t="shared" si="59"/>
        <v>1</v>
      </c>
      <c r="BY49" s="129" t="str">
        <f t="shared" si="80"/>
        <v>0</v>
      </c>
      <c r="BZ49" s="27" t="str">
        <f t="shared" si="81"/>
        <v>1</v>
      </c>
      <c r="CA49" s="120" t="str">
        <f t="shared" si="60"/>
        <v>No válido</v>
      </c>
      <c r="CC49" s="129" t="str">
        <f t="shared" si="61"/>
        <v>1</v>
      </c>
      <c r="CD49" s="129" t="str">
        <f t="shared" si="82"/>
        <v>1</v>
      </c>
      <c r="CE49" s="129" t="str">
        <f t="shared" si="83"/>
        <v>0</v>
      </c>
      <c r="CF49" s="120" t="str">
        <f t="shared" si="62"/>
        <v>No válido</v>
      </c>
    </row>
    <row r="50" spans="1:84" x14ac:dyDescent="0.25">
      <c r="A50" s="150" t="s">
        <v>80</v>
      </c>
      <c r="B50" t="s">
        <v>305</v>
      </c>
      <c r="D50" s="120">
        <v>40</v>
      </c>
      <c r="E50" s="24">
        <f>'Cálculos - Distintas Ecuaciones'!F55</f>
        <v>11621.9</v>
      </c>
      <c r="F50" s="39">
        <f>'Cálculos - Distintas Ecuaciones'!Z55+Cunetas!J125</f>
        <v>5.0457509420964622E-2</v>
      </c>
      <c r="G50" s="50" t="str">
        <f t="shared" si="21"/>
        <v>1</v>
      </c>
      <c r="H50" s="120">
        <f t="shared" si="22"/>
        <v>2.4E-2</v>
      </c>
      <c r="I50" s="20">
        <f t="shared" si="23"/>
        <v>0.02</v>
      </c>
      <c r="J50" s="45">
        <v>1.2</v>
      </c>
      <c r="K50" s="67" t="str">
        <f t="shared" si="24"/>
        <v>Circular</v>
      </c>
      <c r="L50" s="45"/>
      <c r="M50" s="45"/>
      <c r="N50" s="5">
        <v>0.11738049375623326</v>
      </c>
      <c r="O50" s="5">
        <f t="shared" si="25"/>
        <v>1.2723779857343627</v>
      </c>
      <c r="P50" s="5">
        <f t="shared" si="26"/>
        <v>0.7129611832155317</v>
      </c>
      <c r="Q50" s="5">
        <f t="shared" si="27"/>
        <v>5.6983550324959449E-2</v>
      </c>
      <c r="R50" s="5">
        <f t="shared" si="28"/>
        <v>0.76342679144061754</v>
      </c>
      <c r="S50" s="5">
        <f t="shared" si="29"/>
        <v>7.4641800581073614E-2</v>
      </c>
      <c r="T50" s="117">
        <f t="shared" si="30"/>
        <v>0.9999999833430081</v>
      </c>
      <c r="U50" s="5">
        <f t="shared" si="31"/>
        <v>0.88547500345663188</v>
      </c>
      <c r="V50" s="39">
        <f t="shared" si="32"/>
        <v>1.4370292845840895E-2</v>
      </c>
      <c r="W50" s="46" t="str">
        <f t="shared" si="33"/>
        <v>Aceptable</v>
      </c>
      <c r="X50" s="5">
        <f t="shared" si="34"/>
        <v>2.5952703944615019E-4</v>
      </c>
      <c r="Y50" s="5">
        <f t="shared" si="35"/>
        <v>2.5952704809202999E-4</v>
      </c>
      <c r="Z50" s="5">
        <f t="shared" si="36"/>
        <v>-8.6458798020244698E-12</v>
      </c>
      <c r="AB50" s="120"/>
      <c r="AC50" s="120" t="str">
        <f t="shared" si="37"/>
        <v/>
      </c>
      <c r="AD50" s="120" t="str">
        <f t="shared" si="38"/>
        <v/>
      </c>
      <c r="AE50" s="120" t="str">
        <f t="shared" si="39"/>
        <v/>
      </c>
      <c r="AF50" s="120" t="str">
        <f t="shared" si="40"/>
        <v/>
      </c>
      <c r="AG50" s="120" t="str">
        <f t="shared" si="41"/>
        <v/>
      </c>
      <c r="AH50" s="120" t="str">
        <f t="shared" si="42"/>
        <v/>
      </c>
      <c r="AI50" s="120" t="str">
        <f t="shared" si="43"/>
        <v/>
      </c>
      <c r="AJ50" s="46" t="str">
        <f t="shared" si="44"/>
        <v/>
      </c>
      <c r="AK50" s="120" t="str">
        <f t="shared" si="45"/>
        <v/>
      </c>
      <c r="AL50" s="120" t="str">
        <f t="shared" si="46"/>
        <v/>
      </c>
      <c r="AM50" s="120" t="str">
        <f t="shared" si="47"/>
        <v/>
      </c>
      <c r="AN50" s="211">
        <v>28</v>
      </c>
      <c r="AP50" s="39">
        <f t="shared" si="63"/>
        <v>0.167433</v>
      </c>
      <c r="AQ50" s="39">
        <f t="shared" si="64"/>
        <v>0.53859500000000005</v>
      </c>
      <c r="AR50" s="39">
        <f t="shared" si="65"/>
        <v>-0.14937</v>
      </c>
      <c r="AS50" s="39">
        <f t="shared" si="66"/>
        <v>3.9154000000000001E-2</v>
      </c>
      <c r="AT50" s="39">
        <f t="shared" si="67"/>
        <v>-3.4399999999999999E-3</v>
      </c>
      <c r="AU50" s="39">
        <f t="shared" si="68"/>
        <v>1.16E-4</v>
      </c>
      <c r="AV50" s="39">
        <f t="shared" si="69"/>
        <v>0.22577328680824568</v>
      </c>
      <c r="AX50" s="157">
        <v>13.5</v>
      </c>
      <c r="AY50" s="120">
        <f t="shared" si="70"/>
        <v>0.27</v>
      </c>
      <c r="AZ50" s="39">
        <f t="shared" si="71"/>
        <v>3.9962588264348731E-2</v>
      </c>
      <c r="BA50" s="118">
        <f t="shared" si="72"/>
        <v>0.2</v>
      </c>
      <c r="BB50" s="39">
        <f t="shared" si="48"/>
        <v>7.9925176528697472E-3</v>
      </c>
      <c r="BC50" s="39">
        <f t="shared" si="73"/>
        <v>0.19399895341885209</v>
      </c>
      <c r="BD50" s="39">
        <f t="shared" si="74"/>
        <v>0.24195405933607056</v>
      </c>
      <c r="BE50" s="39">
        <f t="shared" si="75"/>
        <v>0.65869024687811661</v>
      </c>
      <c r="BF50" s="39">
        <f t="shared" si="76"/>
        <v>0.6306443062141871</v>
      </c>
      <c r="BG50" s="39">
        <f t="shared" si="49"/>
        <v>0.6306443062141871</v>
      </c>
      <c r="BH50" s="39">
        <f t="shared" si="50"/>
        <v>0.3005369218451559</v>
      </c>
      <c r="BI50" s="39">
        <f t="shared" si="84"/>
        <v>0.52553692184515599</v>
      </c>
      <c r="BK50" s="129" t="str">
        <f t="shared" si="52"/>
        <v>0</v>
      </c>
      <c r="BL50" s="120" t="str">
        <f t="shared" si="53"/>
        <v>0</v>
      </c>
      <c r="BM50" s="120" t="str">
        <f t="shared" si="54"/>
        <v>No válido</v>
      </c>
      <c r="BN50" s="36"/>
      <c r="BO50" s="129" t="str">
        <f t="shared" si="77"/>
        <v>1</v>
      </c>
      <c r="BP50" s="120" t="str">
        <f t="shared" si="85"/>
        <v>0</v>
      </c>
      <c r="BQ50" s="120" t="str">
        <f t="shared" si="78"/>
        <v>0</v>
      </c>
      <c r="BR50" s="120" t="str">
        <f t="shared" si="79"/>
        <v>No válido</v>
      </c>
      <c r="BT50" s="129" t="str">
        <f t="shared" si="56"/>
        <v>0</v>
      </c>
      <c r="BU50" s="120" t="str">
        <f t="shared" si="57"/>
        <v>1</v>
      </c>
      <c r="BV50" s="120" t="str">
        <f t="shared" si="58"/>
        <v>No válido</v>
      </c>
      <c r="BX50" s="129" t="str">
        <f t="shared" si="59"/>
        <v>1</v>
      </c>
      <c r="BY50" s="129" t="str">
        <f t="shared" si="80"/>
        <v>0</v>
      </c>
      <c r="BZ50" s="27" t="str">
        <f t="shared" si="81"/>
        <v>1</v>
      </c>
      <c r="CA50" s="120" t="str">
        <f t="shared" si="60"/>
        <v>No válido</v>
      </c>
      <c r="CC50" s="129" t="str">
        <f t="shared" si="61"/>
        <v>1</v>
      </c>
      <c r="CD50" s="129" t="str">
        <f t="shared" si="82"/>
        <v>1</v>
      </c>
      <c r="CE50" s="129" t="str">
        <f t="shared" si="83"/>
        <v>0</v>
      </c>
      <c r="CF50" s="120" t="str">
        <f t="shared" si="62"/>
        <v>No válido</v>
      </c>
    </row>
    <row r="51" spans="1:84" x14ac:dyDescent="0.25">
      <c r="A51" s="150" t="s">
        <v>162</v>
      </c>
      <c r="D51" s="120">
        <v>41</v>
      </c>
      <c r="E51" s="24">
        <f>'Cálculos - Distintas Ecuaciones'!F56</f>
        <v>11700</v>
      </c>
      <c r="F51" s="39">
        <f>'Cálculos - Distintas Ecuaciones'!Z56+Cunetas!J126</f>
        <v>2.7569716508463151E-2</v>
      </c>
      <c r="G51" s="50" t="str">
        <f t="shared" si="21"/>
        <v>1</v>
      </c>
      <c r="H51" s="120">
        <f t="shared" si="22"/>
        <v>2.4E-2</v>
      </c>
      <c r="I51" s="20">
        <v>0.05</v>
      </c>
      <c r="J51" s="45">
        <v>1.2</v>
      </c>
      <c r="K51" s="67" t="str">
        <f t="shared" si="24"/>
        <v>Circular</v>
      </c>
      <c r="L51" s="45"/>
      <c r="M51" s="45"/>
      <c r="N51" s="5">
        <v>8.6539323309986635E-2</v>
      </c>
      <c r="O51" s="5">
        <f t="shared" si="25"/>
        <v>1.0875264834816392</v>
      </c>
      <c r="P51" s="5">
        <f t="shared" si="26"/>
        <v>0.62083213026721973</v>
      </c>
      <c r="Q51" s="5">
        <f t="shared" si="27"/>
        <v>3.6368324167740454E-2</v>
      </c>
      <c r="R51" s="5">
        <f t="shared" si="28"/>
        <v>0.65251589008898347</v>
      </c>
      <c r="S51" s="5">
        <f t="shared" si="29"/>
        <v>5.5735537969475217E-2</v>
      </c>
      <c r="T51" s="117">
        <f t="shared" si="30"/>
        <v>0.99999989654397314</v>
      </c>
      <c r="U51" s="5">
        <f t="shared" si="31"/>
        <v>0.75806947774948974</v>
      </c>
      <c r="V51" s="39">
        <f t="shared" si="32"/>
        <v>1.5547631622409601E-2</v>
      </c>
      <c r="W51" s="46" t="str">
        <f t="shared" si="33"/>
        <v>Aceptable</v>
      </c>
      <c r="X51" s="5">
        <f t="shared" si="34"/>
        <v>7.7481067110807917E-5</v>
      </c>
      <c r="Y51" s="5">
        <f t="shared" si="35"/>
        <v>7.7481083142577105E-5</v>
      </c>
      <c r="Z51" s="5">
        <f t="shared" si="36"/>
        <v>-1.6031769187467744E-11</v>
      </c>
      <c r="AB51" s="120"/>
      <c r="AC51" s="120" t="str">
        <f t="shared" si="37"/>
        <v/>
      </c>
      <c r="AD51" s="120" t="str">
        <f t="shared" si="38"/>
        <v/>
      </c>
      <c r="AE51" s="120" t="str">
        <f t="shared" si="39"/>
        <v/>
      </c>
      <c r="AF51" s="120" t="str">
        <f t="shared" si="40"/>
        <v/>
      </c>
      <c r="AG51" s="120" t="str">
        <f t="shared" si="41"/>
        <v/>
      </c>
      <c r="AH51" s="120" t="str">
        <f t="shared" si="42"/>
        <v/>
      </c>
      <c r="AI51" s="120" t="str">
        <f t="shared" si="43"/>
        <v/>
      </c>
      <c r="AJ51" s="46" t="str">
        <f t="shared" si="44"/>
        <v/>
      </c>
      <c r="AK51" s="120" t="str">
        <f t="shared" si="45"/>
        <v/>
      </c>
      <c r="AL51" s="120" t="str">
        <f t="shared" si="46"/>
        <v/>
      </c>
      <c r="AM51" s="120" t="str">
        <f t="shared" si="47"/>
        <v/>
      </c>
      <c r="AN51" s="211">
        <v>-12</v>
      </c>
      <c r="AP51" s="39">
        <f t="shared" si="63"/>
        <v>0.167433</v>
      </c>
      <c r="AQ51" s="39">
        <f t="shared" si="64"/>
        <v>0.53859500000000005</v>
      </c>
      <c r="AR51" s="39">
        <f t="shared" si="65"/>
        <v>-0.14937</v>
      </c>
      <c r="AS51" s="39">
        <f t="shared" si="66"/>
        <v>3.9154000000000001E-2</v>
      </c>
      <c r="AT51" s="39">
        <f t="shared" si="67"/>
        <v>-3.4399999999999999E-3</v>
      </c>
      <c r="AU51" s="39">
        <f t="shared" si="68"/>
        <v>1.16E-4</v>
      </c>
      <c r="AV51" s="39">
        <f t="shared" si="69"/>
        <v>0.1912019067654806</v>
      </c>
      <c r="AX51" s="157">
        <v>12.1</v>
      </c>
      <c r="AY51" s="120">
        <f t="shared" si="70"/>
        <v>0.60499999999999998</v>
      </c>
      <c r="AZ51" s="39">
        <f t="shared" si="71"/>
        <v>2.9289976202618966E-2</v>
      </c>
      <c r="BA51" s="118">
        <f t="shared" si="72"/>
        <v>0.2</v>
      </c>
      <c r="BB51" s="39">
        <f t="shared" si="48"/>
        <v>5.8579952405237931E-3</v>
      </c>
      <c r="BC51" s="39">
        <f t="shared" si="73"/>
        <v>0.18812634263115618</v>
      </c>
      <c r="BD51" s="39">
        <f t="shared" si="74"/>
        <v>0.22327431407429893</v>
      </c>
      <c r="BE51" s="39">
        <f t="shared" si="75"/>
        <v>0.64326966165499333</v>
      </c>
      <c r="BF51" s="39">
        <f t="shared" si="76"/>
        <v>0.26154397572929233</v>
      </c>
      <c r="BG51" s="39">
        <f t="shared" si="49"/>
        <v>0.26154397572929233</v>
      </c>
      <c r="BH51" s="39">
        <f t="shared" si="50"/>
        <v>-0.28621335355892308</v>
      </c>
      <c r="BI51" s="39">
        <f t="shared" si="84"/>
        <v>0.21795331310774363</v>
      </c>
      <c r="BK51" s="129" t="str">
        <f t="shared" si="52"/>
        <v>0</v>
      </c>
      <c r="BL51" s="120" t="str">
        <f t="shared" si="53"/>
        <v>0</v>
      </c>
      <c r="BM51" s="120" t="str">
        <f t="shared" si="54"/>
        <v>No válido</v>
      </c>
      <c r="BN51" s="36"/>
      <c r="BO51" s="129" t="str">
        <f t="shared" si="77"/>
        <v>1</v>
      </c>
      <c r="BP51" s="120" t="str">
        <f t="shared" si="85"/>
        <v>0</v>
      </c>
      <c r="BQ51" s="120" t="str">
        <f t="shared" si="78"/>
        <v>0</v>
      </c>
      <c r="BR51" s="120" t="str">
        <f t="shared" si="79"/>
        <v>No válido</v>
      </c>
      <c r="BT51" s="129" t="str">
        <f t="shared" si="56"/>
        <v>0</v>
      </c>
      <c r="BU51" s="120" t="str">
        <f t="shared" si="57"/>
        <v>1</v>
      </c>
      <c r="BV51" s="120" t="str">
        <f t="shared" si="58"/>
        <v>No válido</v>
      </c>
      <c r="BX51" s="129" t="str">
        <f t="shared" si="59"/>
        <v>1</v>
      </c>
      <c r="BY51" s="129" t="str">
        <f t="shared" si="80"/>
        <v>0</v>
      </c>
      <c r="BZ51" s="27" t="str">
        <f t="shared" si="81"/>
        <v>1</v>
      </c>
      <c r="CA51" s="120" t="str">
        <f t="shared" si="60"/>
        <v>No válido</v>
      </c>
      <c r="CC51" s="129" t="str">
        <f t="shared" si="61"/>
        <v>1</v>
      </c>
      <c r="CD51" s="129" t="str">
        <f t="shared" si="82"/>
        <v>1</v>
      </c>
      <c r="CE51" s="129" t="str">
        <f t="shared" si="83"/>
        <v>0</v>
      </c>
      <c r="CF51" s="120" t="str">
        <f t="shared" si="62"/>
        <v>No válido</v>
      </c>
    </row>
    <row r="52" spans="1:84" x14ac:dyDescent="0.25">
      <c r="A52" s="150" t="s">
        <v>80</v>
      </c>
      <c r="D52" s="120">
        <v>42</v>
      </c>
      <c r="E52" s="24">
        <f>'Cálculos - Distintas Ecuaciones'!F57</f>
        <v>11990</v>
      </c>
      <c r="F52" s="39">
        <f>'Cálculos - Distintas Ecuaciones'!Z57+Cunetas!J127+Cunetas!J128</f>
        <v>0.19212326621592646</v>
      </c>
      <c r="G52" s="50" t="str">
        <f t="shared" si="21"/>
        <v>1</v>
      </c>
      <c r="H52" s="120">
        <f t="shared" si="22"/>
        <v>2.4E-2</v>
      </c>
      <c r="I52" s="20">
        <f t="shared" si="23"/>
        <v>0.02</v>
      </c>
      <c r="J52" s="45">
        <v>1.2</v>
      </c>
      <c r="K52" s="67" t="str">
        <f t="shared" si="24"/>
        <v>Circular</v>
      </c>
      <c r="L52" s="45"/>
      <c r="M52" s="45"/>
      <c r="N52" s="5">
        <v>0.23128848923267495</v>
      </c>
      <c r="O52" s="5">
        <f t="shared" si="25"/>
        <v>1.8180399586690508</v>
      </c>
      <c r="P52" s="5">
        <f t="shared" si="26"/>
        <v>0.94668225255927696</v>
      </c>
      <c r="Q52" s="5">
        <f t="shared" si="27"/>
        <v>0.15272087078155641</v>
      </c>
      <c r="R52" s="5">
        <f t="shared" si="28"/>
        <v>1.0908239752014304</v>
      </c>
      <c r="S52" s="5">
        <f t="shared" si="29"/>
        <v>0.14000505512665795</v>
      </c>
      <c r="T52" s="117">
        <f t="shared" si="30"/>
        <v>0.99999997211253977</v>
      </c>
      <c r="U52" s="5">
        <f t="shared" si="31"/>
        <v>1.2580026896960868</v>
      </c>
      <c r="V52" s="39">
        <f t="shared" si="32"/>
        <v>1.2538935455745822E-2</v>
      </c>
      <c r="W52" s="46" t="str">
        <f t="shared" si="33"/>
        <v>Aceptable</v>
      </c>
      <c r="X52" s="5">
        <f t="shared" si="34"/>
        <v>3.7626248136060901E-3</v>
      </c>
      <c r="Y52" s="5">
        <f t="shared" si="35"/>
        <v>3.7626250234661998E-3</v>
      </c>
      <c r="Z52" s="5">
        <f t="shared" si="36"/>
        <v>-2.0986010975873604E-10</v>
      </c>
      <c r="AB52" s="120"/>
      <c r="AC52" s="120" t="str">
        <f t="shared" si="37"/>
        <v/>
      </c>
      <c r="AD52" s="120" t="str">
        <f t="shared" si="38"/>
        <v/>
      </c>
      <c r="AE52" s="120" t="str">
        <f t="shared" si="39"/>
        <v/>
      </c>
      <c r="AF52" s="120" t="str">
        <f t="shared" si="40"/>
        <v/>
      </c>
      <c r="AG52" s="120" t="str">
        <f t="shared" si="41"/>
        <v/>
      </c>
      <c r="AH52" s="120" t="str">
        <f t="shared" si="42"/>
        <v/>
      </c>
      <c r="AI52" s="120" t="str">
        <f t="shared" si="43"/>
        <v/>
      </c>
      <c r="AJ52" s="46" t="str">
        <f t="shared" si="44"/>
        <v/>
      </c>
      <c r="AK52" s="120" t="str">
        <f t="shared" si="45"/>
        <v/>
      </c>
      <c r="AL52" s="120" t="str">
        <f t="shared" si="46"/>
        <v/>
      </c>
      <c r="AM52" s="120" t="str">
        <f t="shared" si="47"/>
        <v/>
      </c>
      <c r="AN52" s="211">
        <v>0</v>
      </c>
      <c r="AP52" s="39">
        <f t="shared" si="63"/>
        <v>0.167433</v>
      </c>
      <c r="AQ52" s="39">
        <f t="shared" si="64"/>
        <v>0.53859500000000005</v>
      </c>
      <c r="AR52" s="39">
        <f t="shared" si="65"/>
        <v>-0.14937</v>
      </c>
      <c r="AS52" s="39">
        <f t="shared" si="66"/>
        <v>3.9154000000000001E-2</v>
      </c>
      <c r="AT52" s="39">
        <f t="shared" si="67"/>
        <v>-3.4399999999999999E-3</v>
      </c>
      <c r="AU52" s="39">
        <f t="shared" si="68"/>
        <v>1.16E-4</v>
      </c>
      <c r="AV52" s="39">
        <f t="shared" si="69"/>
        <v>0.32327240878968155</v>
      </c>
      <c r="AX52" s="157">
        <v>14.8</v>
      </c>
      <c r="AY52" s="120">
        <f t="shared" si="70"/>
        <v>0.29600000000000004</v>
      </c>
      <c r="AZ52" s="39">
        <f t="shared" si="71"/>
        <v>8.0661099249877105E-2</v>
      </c>
      <c r="BA52" s="118">
        <f t="shared" si="72"/>
        <v>0.2</v>
      </c>
      <c r="BB52" s="39">
        <f t="shared" si="48"/>
        <v>1.6132219849975423E-2</v>
      </c>
      <c r="BC52" s="39">
        <f t="shared" si="73"/>
        <v>0.18557624474503817</v>
      </c>
      <c r="BD52" s="39">
        <f t="shared" si="74"/>
        <v>0.2823695638448907</v>
      </c>
      <c r="BE52" s="39">
        <f t="shared" si="75"/>
        <v>0.71564424461633747</v>
      </c>
      <c r="BF52" s="39">
        <f t="shared" si="76"/>
        <v>0.70201380846122818</v>
      </c>
      <c r="BG52" s="39">
        <f t="shared" si="49"/>
        <v>0.70201380846122818</v>
      </c>
      <c r="BH52" s="39">
        <f t="shared" si="50"/>
        <v>0.3383448403843568</v>
      </c>
      <c r="BI52" s="39">
        <f t="shared" si="84"/>
        <v>0.58501150705102356</v>
      </c>
      <c r="BK52" s="129" t="str">
        <f t="shared" si="52"/>
        <v>0</v>
      </c>
      <c r="BL52" s="120" t="str">
        <f t="shared" si="53"/>
        <v>0</v>
      </c>
      <c r="BM52" s="120" t="str">
        <f t="shared" si="54"/>
        <v>No válido</v>
      </c>
      <c r="BN52" s="36"/>
      <c r="BO52" s="129" t="str">
        <f t="shared" si="77"/>
        <v>1</v>
      </c>
      <c r="BP52" s="120" t="str">
        <f t="shared" si="85"/>
        <v>0</v>
      </c>
      <c r="BQ52" s="120" t="str">
        <f t="shared" si="78"/>
        <v>0</v>
      </c>
      <c r="BR52" s="120" t="str">
        <f t="shared" si="79"/>
        <v>No válido</v>
      </c>
      <c r="BT52" s="129" t="str">
        <f t="shared" si="56"/>
        <v>0</v>
      </c>
      <c r="BU52" s="120" t="str">
        <f t="shared" si="57"/>
        <v>1</v>
      </c>
      <c r="BV52" s="120" t="str">
        <f t="shared" si="58"/>
        <v>No válido</v>
      </c>
      <c r="BX52" s="129" t="str">
        <f t="shared" si="59"/>
        <v>1</v>
      </c>
      <c r="BY52" s="129" t="str">
        <f t="shared" si="80"/>
        <v>0</v>
      </c>
      <c r="BZ52" s="27" t="str">
        <f t="shared" si="81"/>
        <v>1</v>
      </c>
      <c r="CA52" s="120" t="str">
        <f t="shared" si="60"/>
        <v>No válido</v>
      </c>
      <c r="CC52" s="129" t="str">
        <f t="shared" si="61"/>
        <v>1</v>
      </c>
      <c r="CD52" s="129" t="str">
        <f t="shared" si="82"/>
        <v>1</v>
      </c>
      <c r="CE52" s="129" t="str">
        <f t="shared" si="83"/>
        <v>0</v>
      </c>
      <c r="CF52" s="120" t="str">
        <f t="shared" si="62"/>
        <v>No válido</v>
      </c>
    </row>
    <row r="53" spans="1:84" x14ac:dyDescent="0.25">
      <c r="A53" s="150" t="s">
        <v>80</v>
      </c>
      <c r="B53" t="s">
        <v>305</v>
      </c>
      <c r="D53" s="120">
        <v>43</v>
      </c>
      <c r="E53" s="24">
        <f>'Cálculos - Distintas Ecuaciones'!F58</f>
        <v>12214</v>
      </c>
      <c r="F53" s="39">
        <f>'Cálculos - Distintas Ecuaciones'!Z58+Cunetas!J129+Cunetas!J130</f>
        <v>4.7011331993876339E-2</v>
      </c>
      <c r="G53" s="50" t="str">
        <f t="shared" si="21"/>
        <v>1</v>
      </c>
      <c r="H53" s="120">
        <f t="shared" si="22"/>
        <v>2.4E-2</v>
      </c>
      <c r="I53" s="20">
        <v>0.05</v>
      </c>
      <c r="J53" s="45">
        <v>1.2</v>
      </c>
      <c r="K53" s="67" t="str">
        <f t="shared" si="24"/>
        <v>Circular</v>
      </c>
      <c r="L53" s="45"/>
      <c r="M53" s="45"/>
      <c r="N53" s="5">
        <v>0.11326150739250672</v>
      </c>
      <c r="O53" s="5">
        <f t="shared" si="25"/>
        <v>1.249084642964261</v>
      </c>
      <c r="P53" s="5">
        <f t="shared" si="26"/>
        <v>0.7016712615297428</v>
      </c>
      <c r="Q53" s="5">
        <f t="shared" si="27"/>
        <v>5.4070029662074359E-2</v>
      </c>
      <c r="R53" s="5">
        <f t="shared" si="28"/>
        <v>0.74945078577855662</v>
      </c>
      <c r="S53" s="5">
        <f t="shared" si="29"/>
        <v>7.2146204511486969E-2</v>
      </c>
      <c r="T53" s="117">
        <f t="shared" si="30"/>
        <v>0.99999996710489991</v>
      </c>
      <c r="U53" s="5">
        <f t="shared" si="31"/>
        <v>0.86945267623647871</v>
      </c>
      <c r="V53" s="39">
        <f t="shared" si="32"/>
        <v>1.4497609442230865E-2</v>
      </c>
      <c r="W53" s="46" t="str">
        <f t="shared" si="33"/>
        <v>Aceptable</v>
      </c>
      <c r="X53" s="5">
        <f t="shared" si="34"/>
        <v>2.2528698632400212E-4</v>
      </c>
      <c r="Y53" s="5">
        <f t="shared" si="35"/>
        <v>2.2528700114567889E-4</v>
      </c>
      <c r="Z53" s="5">
        <f t="shared" si="36"/>
        <v>-1.482167676352536E-11</v>
      </c>
      <c r="AB53" s="120"/>
      <c r="AC53" s="120" t="str">
        <f t="shared" si="37"/>
        <v/>
      </c>
      <c r="AD53" s="120" t="str">
        <f t="shared" si="38"/>
        <v/>
      </c>
      <c r="AE53" s="120" t="str">
        <f t="shared" si="39"/>
        <v/>
      </c>
      <c r="AF53" s="120" t="str">
        <f t="shared" si="40"/>
        <v/>
      </c>
      <c r="AG53" s="120" t="str">
        <f t="shared" si="41"/>
        <v/>
      </c>
      <c r="AH53" s="120" t="str">
        <f t="shared" si="42"/>
        <v/>
      </c>
      <c r="AI53" s="120" t="str">
        <f t="shared" si="43"/>
        <v/>
      </c>
      <c r="AJ53" s="46" t="str">
        <f t="shared" si="44"/>
        <v/>
      </c>
      <c r="AK53" s="120" t="str">
        <f t="shared" si="45"/>
        <v/>
      </c>
      <c r="AL53" s="120" t="str">
        <f t="shared" si="46"/>
        <v/>
      </c>
      <c r="AM53" s="120" t="str">
        <f t="shared" si="47"/>
        <v/>
      </c>
      <c r="AN53" s="211">
        <v>13</v>
      </c>
      <c r="AP53" s="39">
        <f t="shared" si="63"/>
        <v>0.167433</v>
      </c>
      <c r="AQ53" s="39">
        <f t="shared" si="64"/>
        <v>0.53859500000000005</v>
      </c>
      <c r="AR53" s="39">
        <f t="shared" si="65"/>
        <v>-0.14937</v>
      </c>
      <c r="AS53" s="39">
        <f t="shared" si="66"/>
        <v>3.9154000000000001E-2</v>
      </c>
      <c r="AT53" s="39">
        <f t="shared" si="67"/>
        <v>-3.4399999999999999E-3</v>
      </c>
      <c r="AU53" s="39">
        <f t="shared" si="68"/>
        <v>1.16E-4</v>
      </c>
      <c r="AV53" s="39">
        <f t="shared" si="69"/>
        <v>0.20529340455337144</v>
      </c>
      <c r="AX53" s="157">
        <v>9</v>
      </c>
      <c r="AY53" s="120">
        <f t="shared" si="70"/>
        <v>0.45</v>
      </c>
      <c r="AZ53" s="39">
        <f t="shared" si="71"/>
        <v>3.852945750330148E-2</v>
      </c>
      <c r="BA53" s="118">
        <f t="shared" si="72"/>
        <v>0.2</v>
      </c>
      <c r="BB53" s="39">
        <f t="shared" si="48"/>
        <v>7.7058915006602965E-3</v>
      </c>
      <c r="BC53" s="39">
        <f t="shared" si="73"/>
        <v>0.13047848498007775</v>
      </c>
      <c r="BD53" s="39">
        <f t="shared" si="74"/>
        <v>0.17671383398403953</v>
      </c>
      <c r="BE53" s="39">
        <f t="shared" si="75"/>
        <v>0.65663075369625334</v>
      </c>
      <c r="BF53" s="39">
        <f t="shared" si="76"/>
        <v>0.38334458768029284</v>
      </c>
      <c r="BG53" s="39">
        <f t="shared" si="49"/>
        <v>0.38334458768029284</v>
      </c>
      <c r="BH53" s="39">
        <f t="shared" si="50"/>
        <v>-5.5546176933089317E-2</v>
      </c>
      <c r="BI53" s="39">
        <f t="shared" si="84"/>
        <v>0.31945382306691072</v>
      </c>
      <c r="BK53" s="129" t="str">
        <f t="shared" si="52"/>
        <v>0</v>
      </c>
      <c r="BL53" s="120" t="str">
        <f t="shared" si="53"/>
        <v>0</v>
      </c>
      <c r="BM53" s="120" t="str">
        <f t="shared" si="54"/>
        <v>No válido</v>
      </c>
      <c r="BN53" s="36"/>
      <c r="BO53" s="129" t="str">
        <f t="shared" si="77"/>
        <v>1</v>
      </c>
      <c r="BP53" s="120" t="str">
        <f t="shared" si="85"/>
        <v>0</v>
      </c>
      <c r="BQ53" s="120" t="str">
        <f t="shared" si="78"/>
        <v>0</v>
      </c>
      <c r="BR53" s="120" t="str">
        <f t="shared" si="79"/>
        <v>No válido</v>
      </c>
      <c r="BT53" s="129" t="str">
        <f t="shared" si="56"/>
        <v>0</v>
      </c>
      <c r="BU53" s="120" t="str">
        <f t="shared" si="57"/>
        <v>1</v>
      </c>
      <c r="BV53" s="120" t="str">
        <f t="shared" si="58"/>
        <v>No válido</v>
      </c>
      <c r="BX53" s="129" t="str">
        <f t="shared" si="59"/>
        <v>1</v>
      </c>
      <c r="BY53" s="129" t="str">
        <f t="shared" si="80"/>
        <v>0</v>
      </c>
      <c r="BZ53" s="27" t="str">
        <f t="shared" si="81"/>
        <v>1</v>
      </c>
      <c r="CA53" s="120" t="str">
        <f t="shared" si="60"/>
        <v>No válido</v>
      </c>
      <c r="CC53" s="129" t="str">
        <f t="shared" si="61"/>
        <v>1</v>
      </c>
      <c r="CD53" s="129" t="str">
        <f t="shared" si="82"/>
        <v>1</v>
      </c>
      <c r="CE53" s="129" t="str">
        <f t="shared" si="83"/>
        <v>0</v>
      </c>
      <c r="CF53" s="120" t="str">
        <f t="shared" si="62"/>
        <v>No válido</v>
      </c>
    </row>
    <row r="54" spans="1:84" x14ac:dyDescent="0.25">
      <c r="A54" s="150" t="s">
        <v>79</v>
      </c>
      <c r="C54" s="116"/>
      <c r="D54" s="120">
        <v>44</v>
      </c>
      <c r="E54" s="24">
        <f>'Cálculos - Distintas Ecuaciones'!F59</f>
        <v>12316.7</v>
      </c>
      <c r="F54" s="39">
        <f>'Cálculos - Distintas Ecuaciones'!Z59+Cunetas!J131</f>
        <v>4.7334332623899957</v>
      </c>
      <c r="G54" s="50" t="str">
        <f t="shared" si="21"/>
        <v>2</v>
      </c>
      <c r="H54" s="120">
        <f t="shared" si="22"/>
        <v>1.4E-2</v>
      </c>
      <c r="I54" s="20">
        <v>0.03</v>
      </c>
      <c r="J54" s="45">
        <v>1.8</v>
      </c>
      <c r="K54" s="67" t="str">
        <f t="shared" si="24"/>
        <v>Cajón</v>
      </c>
      <c r="L54" s="45">
        <v>1.2</v>
      </c>
      <c r="M54" s="45">
        <v>1.2</v>
      </c>
      <c r="N54" s="5"/>
      <c r="O54" s="5" t="str">
        <f t="shared" si="25"/>
        <v/>
      </c>
      <c r="P54" s="5" t="str">
        <f t="shared" si="26"/>
        <v/>
      </c>
      <c r="Q54" s="5" t="str">
        <f t="shared" si="27"/>
        <v/>
      </c>
      <c r="R54" s="5" t="str">
        <f t="shared" si="28"/>
        <v/>
      </c>
      <c r="S54" s="5" t="str">
        <f t="shared" si="29"/>
        <v/>
      </c>
      <c r="T54" s="117" t="str">
        <f t="shared" si="30"/>
        <v/>
      </c>
      <c r="U54" s="5" t="str">
        <f t="shared" si="31"/>
        <v/>
      </c>
      <c r="V54" s="39" t="str">
        <f t="shared" si="32"/>
        <v/>
      </c>
      <c r="W54" s="46" t="str">
        <f t="shared" si="33"/>
        <v/>
      </c>
      <c r="X54" s="5" t="str">
        <f t="shared" si="34"/>
        <v/>
      </c>
      <c r="Y54" s="5" t="str">
        <f t="shared" si="35"/>
        <v/>
      </c>
      <c r="Z54" s="5" t="str">
        <f t="shared" si="36"/>
        <v/>
      </c>
      <c r="AB54" s="5">
        <v>1.166201669367561</v>
      </c>
      <c r="AC54" s="5">
        <f t="shared" si="37"/>
        <v>1.2</v>
      </c>
      <c r="AD54" s="5">
        <f t="shared" si="38"/>
        <v>1.399442003241073</v>
      </c>
      <c r="AE54" s="5">
        <f t="shared" si="39"/>
        <v>3.5324033387351221</v>
      </c>
      <c r="AF54" s="5">
        <f t="shared" si="40"/>
        <v>0.39617276653978684</v>
      </c>
      <c r="AG54" s="5">
        <f t="shared" si="41"/>
        <v>1.0000000470102623</v>
      </c>
      <c r="AH54" s="5">
        <f t="shared" si="42"/>
        <v>3.3823718678069414</v>
      </c>
      <c r="AI54" s="5">
        <f t="shared" si="43"/>
        <v>7.7064190473210021E-3</v>
      </c>
      <c r="AJ54" s="46" t="str">
        <f t="shared" si="44"/>
        <v>Aceptable</v>
      </c>
      <c r="AK54" s="5">
        <f t="shared" si="45"/>
        <v>1.5860649806697804</v>
      </c>
      <c r="AL54" s="5">
        <f t="shared" si="46"/>
        <v>1.5860651297924451</v>
      </c>
      <c r="AM54" s="5">
        <f t="shared" si="47"/>
        <v>-1.4912266466104995E-7</v>
      </c>
      <c r="AN54" s="211">
        <v>-10</v>
      </c>
      <c r="AP54" s="39">
        <f t="shared" si="63"/>
        <v>7.2493000000000002E-2</v>
      </c>
      <c r="AQ54" s="39">
        <f t="shared" si="64"/>
        <v>0.50708699999999995</v>
      </c>
      <c r="AR54" s="39">
        <f t="shared" si="65"/>
        <v>-0.11747</v>
      </c>
      <c r="AS54" s="39">
        <f t="shared" si="66"/>
        <v>2.2169999999999999E-2</v>
      </c>
      <c r="AT54" s="39">
        <f t="shared" si="67"/>
        <v>-1.49E-3</v>
      </c>
      <c r="AU54" s="39">
        <f t="shared" si="68"/>
        <v>3.8000000000000002E-5</v>
      </c>
      <c r="AV54" s="39">
        <f t="shared" si="69"/>
        <v>2.1396064384398867</v>
      </c>
      <c r="AX54" s="157">
        <v>13.05</v>
      </c>
      <c r="AY54" s="120">
        <f t="shared" si="70"/>
        <v>0.39150000000000001</v>
      </c>
      <c r="AZ54" s="39">
        <f t="shared" si="71"/>
        <v>0.58310088950722816</v>
      </c>
      <c r="BA54" s="118">
        <f t="shared" si="72"/>
        <v>0.5</v>
      </c>
      <c r="BB54" s="39">
        <f t="shared" si="48"/>
        <v>0.29155044475361408</v>
      </c>
      <c r="BC54" s="39">
        <f t="shared" si="73"/>
        <v>0.10056876856753906</v>
      </c>
      <c r="BD54" s="39">
        <f t="shared" si="74"/>
        <v>0.97522010282838123</v>
      </c>
      <c r="BE54" s="39">
        <f t="shared" si="75"/>
        <v>1.1831008346837804</v>
      </c>
      <c r="BF54" s="39">
        <f t="shared" si="76"/>
        <v>1.7668209375121615</v>
      </c>
      <c r="BG54" s="39">
        <f t="shared" si="49"/>
        <v>2.1396064384398867</v>
      </c>
      <c r="BH54" s="39">
        <f t="shared" si="50"/>
        <v>1.4567553653665724</v>
      </c>
      <c r="BI54" s="39">
        <f t="shared" si="84"/>
        <v>1.4723507812601346</v>
      </c>
      <c r="BK54" s="129" t="str">
        <f t="shared" si="52"/>
        <v>1</v>
      </c>
      <c r="BL54" s="120" t="str">
        <f t="shared" si="53"/>
        <v>1</v>
      </c>
      <c r="BM54" s="120" t="str">
        <f t="shared" si="54"/>
        <v>Válido</v>
      </c>
      <c r="BN54" s="36"/>
      <c r="BO54" s="129" t="str">
        <f t="shared" si="77"/>
        <v>1</v>
      </c>
      <c r="BP54" s="120" t="str">
        <f t="shared" si="85"/>
        <v>0</v>
      </c>
      <c r="BQ54" s="120" t="str">
        <f t="shared" si="78"/>
        <v>0</v>
      </c>
      <c r="BR54" s="120" t="str">
        <f t="shared" si="79"/>
        <v>No válido</v>
      </c>
      <c r="BT54" s="129" t="str">
        <f t="shared" si="56"/>
        <v>0</v>
      </c>
      <c r="BU54" s="120" t="str">
        <f t="shared" si="57"/>
        <v>0</v>
      </c>
      <c r="BV54" s="120" t="str">
        <f t="shared" si="58"/>
        <v>No válido</v>
      </c>
      <c r="BX54" s="129" t="str">
        <f t="shared" si="59"/>
        <v>1</v>
      </c>
      <c r="BY54" s="129" t="str">
        <f t="shared" si="80"/>
        <v>0</v>
      </c>
      <c r="BZ54" s="27" t="str">
        <f t="shared" si="81"/>
        <v>1</v>
      </c>
      <c r="CA54" s="120" t="str">
        <f t="shared" si="60"/>
        <v>No válido</v>
      </c>
      <c r="CC54" s="129" t="str">
        <f t="shared" si="61"/>
        <v>1</v>
      </c>
      <c r="CD54" s="129" t="str">
        <f t="shared" si="82"/>
        <v>1</v>
      </c>
      <c r="CE54" s="129" t="str">
        <f t="shared" si="83"/>
        <v>0</v>
      </c>
      <c r="CF54" s="120" t="str">
        <f t="shared" si="62"/>
        <v>No válido</v>
      </c>
    </row>
    <row r="55" spans="1:84" x14ac:dyDescent="0.25">
      <c r="A55" s="150" t="s">
        <v>80</v>
      </c>
      <c r="B55" t="s">
        <v>305</v>
      </c>
      <c r="D55" s="120">
        <v>45</v>
      </c>
      <c r="E55" s="24">
        <f>'Cálculos - Distintas Ecuaciones'!F60</f>
        <v>12600</v>
      </c>
      <c r="F55" s="39">
        <f>'Cálculos - Distintas Ecuaciones'!Z60+Cunetas!J132+Cunetas!J133</f>
        <v>1.45323523562832</v>
      </c>
      <c r="G55" s="50" t="str">
        <f t="shared" si="21"/>
        <v>1</v>
      </c>
      <c r="H55" s="120">
        <f t="shared" si="22"/>
        <v>2.4E-2</v>
      </c>
      <c r="I55" s="20">
        <f t="shared" si="23"/>
        <v>0.02</v>
      </c>
      <c r="J55" s="45">
        <v>1.2</v>
      </c>
      <c r="K55" s="67" t="str">
        <f t="shared" si="24"/>
        <v>Circular</v>
      </c>
      <c r="L55" s="45"/>
      <c r="M55" s="45"/>
      <c r="N55" s="5">
        <v>0.6587417338076974</v>
      </c>
      <c r="O55" s="5">
        <f t="shared" si="25"/>
        <v>3.3377125888165282</v>
      </c>
      <c r="P55" s="5">
        <f t="shared" si="26"/>
        <v>1.1942351673087936</v>
      </c>
      <c r="Q55" s="5">
        <f t="shared" si="27"/>
        <v>0.63586398813789713</v>
      </c>
      <c r="R55" s="5">
        <f t="shared" si="28"/>
        <v>2.0026275532899169</v>
      </c>
      <c r="S55" s="5">
        <f t="shared" si="29"/>
        <v>0.31751485047396838</v>
      </c>
      <c r="T55" s="117">
        <f t="shared" si="30"/>
        <v>0.99999999822819652</v>
      </c>
      <c r="U55" s="5">
        <f t="shared" si="31"/>
        <v>2.2854498174744298</v>
      </c>
      <c r="V55" s="39">
        <f t="shared" si="32"/>
        <v>1.388930366101593E-2</v>
      </c>
      <c r="W55" s="46" t="str">
        <f t="shared" si="33"/>
        <v>Aceptable</v>
      </c>
      <c r="X55" s="5">
        <f t="shared" si="34"/>
        <v>0.21527957696959213</v>
      </c>
      <c r="Y55" s="5">
        <f t="shared" si="35"/>
        <v>0.21527957773245834</v>
      </c>
      <c r="Z55" s="5">
        <f t="shared" si="36"/>
        <v>-7.6286621464305426E-10</v>
      </c>
      <c r="AB55" s="120"/>
      <c r="AC55" s="120" t="str">
        <f t="shared" si="37"/>
        <v/>
      </c>
      <c r="AD55" s="120" t="str">
        <f t="shared" si="38"/>
        <v/>
      </c>
      <c r="AE55" s="120" t="str">
        <f t="shared" si="39"/>
        <v/>
      </c>
      <c r="AF55" s="120" t="str">
        <f t="shared" si="40"/>
        <v/>
      </c>
      <c r="AG55" s="120" t="str">
        <f t="shared" si="41"/>
        <v/>
      </c>
      <c r="AH55" s="120" t="str">
        <f t="shared" si="42"/>
        <v/>
      </c>
      <c r="AI55" s="120" t="str">
        <f t="shared" si="43"/>
        <v/>
      </c>
      <c r="AJ55" s="46" t="str">
        <f t="shared" si="44"/>
        <v/>
      </c>
      <c r="AK55" s="120" t="str">
        <f t="shared" si="45"/>
        <v/>
      </c>
      <c r="AL55" s="120" t="str">
        <f t="shared" si="46"/>
        <v/>
      </c>
      <c r="AM55" s="120" t="str">
        <f t="shared" si="47"/>
        <v/>
      </c>
      <c r="AN55" s="211">
        <v>20</v>
      </c>
      <c r="AP55" s="39">
        <f t="shared" si="63"/>
        <v>0.167433</v>
      </c>
      <c r="AQ55" s="39">
        <f t="shared" si="64"/>
        <v>0.53859500000000005</v>
      </c>
      <c r="AR55" s="39">
        <f t="shared" si="65"/>
        <v>-0.14937</v>
      </c>
      <c r="AS55" s="39">
        <f t="shared" si="66"/>
        <v>3.9154000000000001E-2</v>
      </c>
      <c r="AT55" s="39">
        <f t="shared" si="67"/>
        <v>-3.4399999999999999E-3</v>
      </c>
      <c r="AU55" s="39">
        <f t="shared" si="68"/>
        <v>1.16E-4</v>
      </c>
      <c r="AV55" s="39">
        <f t="shared" si="69"/>
        <v>0.95641680051718236</v>
      </c>
      <c r="AX55" s="157">
        <v>10.85</v>
      </c>
      <c r="AY55" s="120">
        <f t="shared" si="70"/>
        <v>0.217</v>
      </c>
      <c r="AZ55" s="39">
        <f t="shared" si="71"/>
        <v>0.26622226647267605</v>
      </c>
      <c r="BA55" s="118">
        <f t="shared" si="72"/>
        <v>0.2</v>
      </c>
      <c r="BB55" s="39">
        <f t="shared" si="48"/>
        <v>5.3244453294535213E-2</v>
      </c>
      <c r="BC55" s="39">
        <f t="shared" si="73"/>
        <v>0.15069894472202286</v>
      </c>
      <c r="BD55" s="39">
        <f t="shared" si="74"/>
        <v>0.47016566448923414</v>
      </c>
      <c r="BE55" s="39">
        <f t="shared" si="75"/>
        <v>0.92937086690384874</v>
      </c>
      <c r="BF55" s="39">
        <f t="shared" si="76"/>
        <v>1.1825365313930827</v>
      </c>
      <c r="BG55" s="39">
        <f t="shared" si="49"/>
        <v>1.1825365313930827</v>
      </c>
      <c r="BH55" s="39">
        <f t="shared" si="50"/>
        <v>0.80461377616090224</v>
      </c>
      <c r="BI55" s="39">
        <f t="shared" si="84"/>
        <v>0.98544710949423564</v>
      </c>
      <c r="BK55" s="129" t="str">
        <f t="shared" si="52"/>
        <v>0</v>
      </c>
      <c r="BL55" s="120" t="str">
        <f t="shared" si="53"/>
        <v>0</v>
      </c>
      <c r="BM55" s="120" t="str">
        <f t="shared" si="54"/>
        <v>No válido</v>
      </c>
      <c r="BN55" s="36"/>
      <c r="BO55" s="129" t="str">
        <f t="shared" si="77"/>
        <v>1</v>
      </c>
      <c r="BP55" s="120" t="str">
        <f t="shared" si="85"/>
        <v>0</v>
      </c>
      <c r="BQ55" s="120" t="str">
        <f t="shared" si="78"/>
        <v>0</v>
      </c>
      <c r="BR55" s="120" t="str">
        <f t="shared" si="79"/>
        <v>No válido</v>
      </c>
      <c r="BT55" s="129" t="str">
        <f t="shared" si="56"/>
        <v>0</v>
      </c>
      <c r="BU55" s="120" t="str">
        <f t="shared" si="57"/>
        <v>1</v>
      </c>
      <c r="BV55" s="120" t="str">
        <f t="shared" si="58"/>
        <v>No válido</v>
      </c>
      <c r="BX55" s="129" t="str">
        <f t="shared" si="59"/>
        <v>1</v>
      </c>
      <c r="BY55" s="129" t="str">
        <f t="shared" si="80"/>
        <v>0</v>
      </c>
      <c r="BZ55" s="27" t="str">
        <f t="shared" si="81"/>
        <v>1</v>
      </c>
      <c r="CA55" s="120" t="str">
        <f t="shared" si="60"/>
        <v>No válido</v>
      </c>
      <c r="CC55" s="129" t="str">
        <f t="shared" si="61"/>
        <v>1</v>
      </c>
      <c r="CD55" s="129" t="str">
        <f t="shared" si="82"/>
        <v>1</v>
      </c>
      <c r="CE55" s="129" t="str">
        <f t="shared" si="83"/>
        <v>0</v>
      </c>
      <c r="CF55" s="120" t="str">
        <f t="shared" si="62"/>
        <v>No válido</v>
      </c>
    </row>
    <row r="56" spans="1:84" x14ac:dyDescent="0.25">
      <c r="A56" s="111" t="s">
        <v>166</v>
      </c>
      <c r="C56" s="116"/>
      <c r="D56" s="120">
        <v>46</v>
      </c>
      <c r="E56" s="24">
        <f>'Cálculos - Distintas Ecuaciones'!F61</f>
        <v>12880.9</v>
      </c>
      <c r="F56" s="39">
        <f>'Cálculos - Distintas Ecuaciones'!Z61+Cunetas!J134+Cunetas!J135+Cunetas!J136+Cunetas!J137</f>
        <v>6.2465589701555979</v>
      </c>
      <c r="G56" s="50" t="str">
        <f t="shared" si="21"/>
        <v>2</v>
      </c>
      <c r="H56" s="120">
        <f t="shared" si="22"/>
        <v>1.4E-2</v>
      </c>
      <c r="I56" s="20">
        <v>0.05</v>
      </c>
      <c r="J56" s="45">
        <v>1.8</v>
      </c>
      <c r="K56" s="67" t="str">
        <f t="shared" si="24"/>
        <v>Cajón</v>
      </c>
      <c r="L56" s="45">
        <v>1.5</v>
      </c>
      <c r="M56" s="45">
        <v>1.5</v>
      </c>
      <c r="N56" s="5">
        <v>1.2052317973314051</v>
      </c>
      <c r="O56" s="5" t="str">
        <f t="shared" si="25"/>
        <v/>
      </c>
      <c r="P56" s="5" t="str">
        <f t="shared" si="26"/>
        <v/>
      </c>
      <c r="Q56" s="5" t="str">
        <f t="shared" si="27"/>
        <v/>
      </c>
      <c r="R56" s="5" t="str">
        <f t="shared" si="28"/>
        <v/>
      </c>
      <c r="S56" s="5" t="str">
        <f t="shared" si="29"/>
        <v/>
      </c>
      <c r="T56" s="117" t="str">
        <f t="shared" si="30"/>
        <v/>
      </c>
      <c r="U56" s="5" t="str">
        <f t="shared" si="31"/>
        <v/>
      </c>
      <c r="V56" s="39" t="str">
        <f t="shared" si="32"/>
        <v/>
      </c>
      <c r="W56" s="46" t="str">
        <f t="shared" si="33"/>
        <v/>
      </c>
      <c r="X56" s="5" t="str">
        <f t="shared" si="34"/>
        <v/>
      </c>
      <c r="Y56" s="5" t="str">
        <f t="shared" si="35"/>
        <v/>
      </c>
      <c r="Z56" s="5" t="str">
        <f t="shared" si="36"/>
        <v/>
      </c>
      <c r="AB56" s="5">
        <v>1.2091403064543746</v>
      </c>
      <c r="AC56" s="5">
        <f t="shared" si="37"/>
        <v>1.5</v>
      </c>
      <c r="AD56" s="5">
        <f t="shared" si="38"/>
        <v>1.8137104596815621</v>
      </c>
      <c r="AE56" s="5">
        <f t="shared" si="39"/>
        <v>3.9182806129087493</v>
      </c>
      <c r="AF56" s="5">
        <f t="shared" si="40"/>
        <v>0.46288426962231982</v>
      </c>
      <c r="AG56" s="5">
        <f t="shared" si="41"/>
        <v>1.0000000776243787</v>
      </c>
      <c r="AH56" s="5">
        <f t="shared" si="42"/>
        <v>3.4440772708849696</v>
      </c>
      <c r="AI56" s="5">
        <f t="shared" si="43"/>
        <v>6.4928985181338349E-3</v>
      </c>
      <c r="AJ56" s="46" t="str">
        <f t="shared" si="44"/>
        <v>Aceptable</v>
      </c>
      <c r="AK56" s="5">
        <f t="shared" si="45"/>
        <v>1.7677876502391359</v>
      </c>
      <c r="AL56" s="5">
        <f t="shared" si="46"/>
        <v>1.7677879246859831</v>
      </c>
      <c r="AM56" s="5">
        <f t="shared" si="47"/>
        <v>-2.7444684724819979E-7</v>
      </c>
      <c r="AN56" s="211">
        <v>-4</v>
      </c>
      <c r="AP56" s="39">
        <f t="shared" si="63"/>
        <v>7.2493000000000002E-2</v>
      </c>
      <c r="AQ56" s="39">
        <f t="shared" si="64"/>
        <v>0.50708699999999995</v>
      </c>
      <c r="AR56" s="39">
        <f t="shared" si="65"/>
        <v>-0.11747</v>
      </c>
      <c r="AS56" s="39">
        <f t="shared" si="66"/>
        <v>2.2169999999999999E-2</v>
      </c>
      <c r="AT56" s="39">
        <f t="shared" si="67"/>
        <v>-1.49E-3</v>
      </c>
      <c r="AU56" s="39">
        <f t="shared" si="68"/>
        <v>3.8000000000000002E-5</v>
      </c>
      <c r="AV56" s="39">
        <f t="shared" si="69"/>
        <v>1.9569521498821585</v>
      </c>
      <c r="AX56" s="157">
        <v>13.85</v>
      </c>
      <c r="AY56" s="120">
        <f t="shared" si="70"/>
        <v>0.6925</v>
      </c>
      <c r="AZ56" s="39">
        <f t="shared" si="71"/>
        <v>0.60457024708595608</v>
      </c>
      <c r="BA56" s="118">
        <f t="shared" si="72"/>
        <v>0.5</v>
      </c>
      <c r="BB56" s="39">
        <f t="shared" si="48"/>
        <v>0.30228512354297804</v>
      </c>
      <c r="BC56" s="39">
        <f t="shared" si="73"/>
        <v>8.9926644476153644E-2</v>
      </c>
      <c r="BD56" s="39">
        <f t="shared" si="74"/>
        <v>0.99678201510508779</v>
      </c>
      <c r="BE56" s="39">
        <f t="shared" si="75"/>
        <v>1.3545701532271872</v>
      </c>
      <c r="BF56" s="39">
        <f t="shared" si="76"/>
        <v>1.6588521683322752</v>
      </c>
      <c r="BG56" s="39">
        <f t="shared" si="49"/>
        <v>1.9569521498821585</v>
      </c>
      <c r="BH56" s="39">
        <f t="shared" si="50"/>
        <v>0.84296809992143906</v>
      </c>
      <c r="BI56" s="39">
        <f t="shared" si="84"/>
        <v>1.1059014455548501</v>
      </c>
      <c r="BK56" s="129" t="str">
        <f t="shared" si="52"/>
        <v>0</v>
      </c>
      <c r="BL56" s="120" t="str">
        <f t="shared" si="53"/>
        <v>1</v>
      </c>
      <c r="BM56" s="120" t="str">
        <f t="shared" si="54"/>
        <v>No válido</v>
      </c>
      <c r="BN56" s="36"/>
      <c r="BO56" s="129" t="str">
        <f t="shared" si="77"/>
        <v>1</v>
      </c>
      <c r="BP56" s="120" t="str">
        <f t="shared" si="85"/>
        <v>0</v>
      </c>
      <c r="BQ56" s="120" t="str">
        <f t="shared" si="78"/>
        <v>0</v>
      </c>
      <c r="BR56" s="120" t="str">
        <f t="shared" si="79"/>
        <v>No válido</v>
      </c>
      <c r="BT56" s="129" t="str">
        <f t="shared" si="56"/>
        <v>0</v>
      </c>
      <c r="BU56" s="120" t="str">
        <f t="shared" si="57"/>
        <v>0</v>
      </c>
      <c r="BV56" s="120" t="str">
        <f t="shared" si="58"/>
        <v>No válido</v>
      </c>
      <c r="BX56" s="129" t="str">
        <f t="shared" si="59"/>
        <v>1</v>
      </c>
      <c r="BY56" s="129" t="str">
        <f t="shared" si="80"/>
        <v>0</v>
      </c>
      <c r="BZ56" s="27" t="str">
        <f t="shared" si="81"/>
        <v>1</v>
      </c>
      <c r="CA56" s="120" t="str">
        <f t="shared" si="60"/>
        <v>No válido</v>
      </c>
      <c r="CC56" s="129" t="str">
        <f t="shared" si="61"/>
        <v>1</v>
      </c>
      <c r="CD56" s="129" t="str">
        <f t="shared" si="82"/>
        <v>1</v>
      </c>
      <c r="CE56" s="129" t="str">
        <f t="shared" si="83"/>
        <v>0</v>
      </c>
      <c r="CF56" s="120" t="str">
        <f t="shared" si="62"/>
        <v>No válido</v>
      </c>
    </row>
    <row r="57" spans="1:84" x14ac:dyDescent="0.25">
      <c r="A57" s="150" t="s">
        <v>80</v>
      </c>
      <c r="D57" s="120">
        <v>47</v>
      </c>
      <c r="E57" s="24">
        <f>'Cálculos - Distintas Ecuaciones'!F62</f>
        <v>13360</v>
      </c>
      <c r="F57" s="39">
        <f>'Cálculos - Distintas Ecuaciones'!Z62+Cunetas!J138+Cunetas!J139+Cunetas!J140+Cunetas!J141</f>
        <v>0.48313935822599618</v>
      </c>
      <c r="G57" s="50" t="str">
        <f t="shared" si="21"/>
        <v>1</v>
      </c>
      <c r="H57" s="120">
        <f t="shared" si="22"/>
        <v>2.4E-2</v>
      </c>
      <c r="I57" s="20">
        <f t="shared" si="23"/>
        <v>0.02</v>
      </c>
      <c r="J57" s="45">
        <v>1.2</v>
      </c>
      <c r="K57" s="67" t="str">
        <f t="shared" si="24"/>
        <v>Circular</v>
      </c>
      <c r="L57" s="45"/>
      <c r="M57" s="45"/>
      <c r="N57" s="5">
        <v>0.37121076111724888</v>
      </c>
      <c r="O57" s="5">
        <f t="shared" si="25"/>
        <v>2.3591550827715073</v>
      </c>
      <c r="P57" s="5">
        <f t="shared" si="26"/>
        <v>1.1093340059178776</v>
      </c>
      <c r="Q57" s="5">
        <f t="shared" si="27"/>
        <v>0.297746073458519</v>
      </c>
      <c r="R57" s="5">
        <f t="shared" si="28"/>
        <v>1.4154930496629043</v>
      </c>
      <c r="S57" s="5">
        <f t="shared" si="29"/>
        <v>0.21034795863492681</v>
      </c>
      <c r="T57" s="117">
        <f t="shared" si="30"/>
        <v>1.0000000302232306</v>
      </c>
      <c r="U57" s="5">
        <f t="shared" si="31"/>
        <v>1.6226556831262648</v>
      </c>
      <c r="V57" s="39">
        <f t="shared" si="32"/>
        <v>1.2123392472089227E-2</v>
      </c>
      <c r="W57" s="46" t="str">
        <f t="shared" si="33"/>
        <v>Aceptable</v>
      </c>
      <c r="X57" s="5">
        <f t="shared" si="34"/>
        <v>2.3794458661266813E-2</v>
      </c>
      <c r="Y57" s="5">
        <f t="shared" si="35"/>
        <v>2.3794457222976059E-2</v>
      </c>
      <c r="Z57" s="5">
        <f t="shared" si="36"/>
        <v>1.4382907538579293E-9</v>
      </c>
      <c r="AB57" s="120"/>
      <c r="AC57" s="120" t="str">
        <f t="shared" si="37"/>
        <v/>
      </c>
      <c r="AD57" s="120" t="str">
        <f t="shared" si="38"/>
        <v/>
      </c>
      <c r="AE57" s="120" t="str">
        <f t="shared" si="39"/>
        <v/>
      </c>
      <c r="AF57" s="120" t="str">
        <f t="shared" si="40"/>
        <v/>
      </c>
      <c r="AG57" s="120" t="str">
        <f t="shared" si="41"/>
        <v/>
      </c>
      <c r="AH57" s="120" t="str">
        <f t="shared" si="42"/>
        <v/>
      </c>
      <c r="AI57" s="120" t="str">
        <f t="shared" si="43"/>
        <v/>
      </c>
      <c r="AJ57" s="46" t="str">
        <f t="shared" si="44"/>
        <v/>
      </c>
      <c r="AK57" s="120" t="str">
        <f t="shared" si="45"/>
        <v/>
      </c>
      <c r="AL57" s="120" t="str">
        <f t="shared" si="46"/>
        <v/>
      </c>
      <c r="AM57" s="120" t="str">
        <f t="shared" si="47"/>
        <v/>
      </c>
      <c r="AN57" s="211">
        <v>0</v>
      </c>
      <c r="AP57" s="39">
        <f t="shared" si="63"/>
        <v>0.167433</v>
      </c>
      <c r="AQ57" s="39">
        <f t="shared" si="64"/>
        <v>0.53859500000000005</v>
      </c>
      <c r="AR57" s="39">
        <f t="shared" si="65"/>
        <v>-0.14937</v>
      </c>
      <c r="AS57" s="39">
        <f t="shared" si="66"/>
        <v>3.9154000000000001E-2</v>
      </c>
      <c r="AT57" s="39">
        <f t="shared" si="67"/>
        <v>-3.4399999999999999E-3</v>
      </c>
      <c r="AU57" s="39">
        <f t="shared" si="68"/>
        <v>1.16E-4</v>
      </c>
      <c r="AV57" s="39">
        <f t="shared" si="69"/>
        <v>0.49994717476773332</v>
      </c>
      <c r="AX57" s="157">
        <v>10.8</v>
      </c>
      <c r="AY57" s="120">
        <f t="shared" si="70"/>
        <v>0.21600000000000003</v>
      </c>
      <c r="AZ57" s="39">
        <f t="shared" si="71"/>
        <v>0.13420038052915215</v>
      </c>
      <c r="BA57" s="118">
        <f t="shared" si="72"/>
        <v>0.2</v>
      </c>
      <c r="BB57" s="39">
        <f t="shared" si="48"/>
        <v>2.6840076105830432E-2</v>
      </c>
      <c r="BC57" s="39">
        <f t="shared" si="73"/>
        <v>0.13093263869856367</v>
      </c>
      <c r="BD57" s="39">
        <f t="shared" si="74"/>
        <v>0.29197309533354621</v>
      </c>
      <c r="BE57" s="39">
        <f t="shared" si="75"/>
        <v>0.78560538055862439</v>
      </c>
      <c r="BF57" s="39">
        <f t="shared" si="76"/>
        <v>0.86157847589217051</v>
      </c>
      <c r="BG57" s="39">
        <f t="shared" si="49"/>
        <v>0.86157847589217051</v>
      </c>
      <c r="BH57" s="39">
        <f t="shared" si="50"/>
        <v>0.53798206324347553</v>
      </c>
      <c r="BI57" s="39">
        <f t="shared" si="84"/>
        <v>0.71798206324347547</v>
      </c>
      <c r="BK57" s="129" t="str">
        <f t="shared" si="52"/>
        <v>0</v>
      </c>
      <c r="BL57" s="120" t="str">
        <f t="shared" si="53"/>
        <v>0</v>
      </c>
      <c r="BM57" s="120" t="str">
        <f t="shared" si="54"/>
        <v>No válido</v>
      </c>
      <c r="BN57" s="36"/>
      <c r="BO57" s="129" t="str">
        <f t="shared" si="77"/>
        <v>1</v>
      </c>
      <c r="BP57" s="120" t="str">
        <f t="shared" si="85"/>
        <v>0</v>
      </c>
      <c r="BQ57" s="120" t="str">
        <f t="shared" si="78"/>
        <v>0</v>
      </c>
      <c r="BR57" s="120" t="str">
        <f t="shared" si="79"/>
        <v>No válido</v>
      </c>
      <c r="BT57" s="129" t="str">
        <f t="shared" si="56"/>
        <v>0</v>
      </c>
      <c r="BU57" s="120" t="str">
        <f t="shared" si="57"/>
        <v>1</v>
      </c>
      <c r="BV57" s="120" t="str">
        <f t="shared" si="58"/>
        <v>No válido</v>
      </c>
      <c r="BX57" s="129" t="str">
        <f t="shared" si="59"/>
        <v>1</v>
      </c>
      <c r="BY57" s="129" t="str">
        <f t="shared" si="80"/>
        <v>0</v>
      </c>
      <c r="BZ57" s="27" t="str">
        <f t="shared" si="81"/>
        <v>1</v>
      </c>
      <c r="CA57" s="120" t="str">
        <f t="shared" si="60"/>
        <v>No válido</v>
      </c>
      <c r="CC57" s="129" t="str">
        <f t="shared" si="61"/>
        <v>1</v>
      </c>
      <c r="CD57" s="129" t="str">
        <f t="shared" si="82"/>
        <v>1</v>
      </c>
      <c r="CE57" s="129" t="str">
        <f t="shared" si="83"/>
        <v>0</v>
      </c>
      <c r="CF57" s="120" t="str">
        <f t="shared" si="62"/>
        <v>No válido</v>
      </c>
    </row>
    <row r="58" spans="1:84" x14ac:dyDescent="0.25">
      <c r="A58" s="150" t="s">
        <v>162</v>
      </c>
      <c r="D58" s="120">
        <v>48</v>
      </c>
      <c r="E58" s="24">
        <f>'Cálculos - Distintas Ecuaciones'!F63</f>
        <v>13805.4</v>
      </c>
      <c r="F58" s="39">
        <f>'Cálculos - Distintas Ecuaciones'!Z63+Cunetas!J142+Cunetas!J143+Cunetas!J144+Cunetas!J145+Cunetas!J146</f>
        <v>0.79627438366471259</v>
      </c>
      <c r="G58" s="50" t="str">
        <f t="shared" si="21"/>
        <v>1</v>
      </c>
      <c r="H58" s="120">
        <f t="shared" si="22"/>
        <v>2.4E-2</v>
      </c>
      <c r="I58" s="20">
        <v>0.05</v>
      </c>
      <c r="J58" s="45">
        <v>1.2</v>
      </c>
      <c r="K58" s="67" t="str">
        <f t="shared" si="24"/>
        <v>Circular</v>
      </c>
      <c r="L58" s="45"/>
      <c r="M58" s="45"/>
      <c r="N58" s="5">
        <v>0.48099077497225451</v>
      </c>
      <c r="O58" s="5">
        <f t="shared" si="25"/>
        <v>2.7422469189184477</v>
      </c>
      <c r="P58" s="5">
        <f t="shared" si="26"/>
        <v>1.1761578199515497</v>
      </c>
      <c r="Q58" s="5">
        <f t="shared" si="27"/>
        <v>0.42361763007394232</v>
      </c>
      <c r="R58" s="5">
        <f t="shared" si="28"/>
        <v>1.6453481513510686</v>
      </c>
      <c r="S58" s="5">
        <f t="shared" si="29"/>
        <v>0.25746382595445894</v>
      </c>
      <c r="T58" s="117">
        <f t="shared" si="30"/>
        <v>1.0000000040703549</v>
      </c>
      <c r="U58" s="5">
        <f t="shared" si="31"/>
        <v>1.8797007658196925</v>
      </c>
      <c r="V58" s="39">
        <f t="shared" si="32"/>
        <v>1.2425435766634501E-2</v>
      </c>
      <c r="W58" s="46" t="str">
        <f t="shared" si="33"/>
        <v>Aceptable</v>
      </c>
      <c r="X58" s="5">
        <f t="shared" si="34"/>
        <v>6.4633322536250551E-2</v>
      </c>
      <c r="Y58" s="5">
        <f t="shared" si="35"/>
        <v>6.4633322010089422E-2</v>
      </c>
      <c r="Z58" s="5">
        <f t="shared" si="36"/>
        <v>5.2616112855563557E-10</v>
      </c>
      <c r="AB58" s="120"/>
      <c r="AC58" s="120" t="str">
        <f t="shared" si="37"/>
        <v/>
      </c>
      <c r="AD58" s="120" t="str">
        <f t="shared" si="38"/>
        <v/>
      </c>
      <c r="AE58" s="120" t="str">
        <f t="shared" si="39"/>
        <v/>
      </c>
      <c r="AF58" s="120" t="str">
        <f t="shared" si="40"/>
        <v/>
      </c>
      <c r="AG58" s="120" t="str">
        <f t="shared" si="41"/>
        <v/>
      </c>
      <c r="AH58" s="120" t="str">
        <f t="shared" si="42"/>
        <v/>
      </c>
      <c r="AI58" s="120" t="str">
        <f t="shared" si="43"/>
        <v/>
      </c>
      <c r="AJ58" s="46" t="str">
        <f t="shared" si="44"/>
        <v/>
      </c>
      <c r="AK58" s="120" t="str">
        <f t="shared" si="45"/>
        <v/>
      </c>
      <c r="AL58" s="120" t="str">
        <f t="shared" si="46"/>
        <v/>
      </c>
      <c r="AM58" s="120" t="str">
        <f t="shared" si="47"/>
        <v/>
      </c>
      <c r="AN58" s="211">
        <v>-3</v>
      </c>
      <c r="AP58" s="39">
        <f t="shared" si="63"/>
        <v>0.167433</v>
      </c>
      <c r="AQ58" s="39">
        <f t="shared" si="64"/>
        <v>0.53859500000000005</v>
      </c>
      <c r="AR58" s="39">
        <f t="shared" si="65"/>
        <v>-0.14937</v>
      </c>
      <c r="AS58" s="39">
        <f t="shared" si="66"/>
        <v>3.9154000000000001E-2</v>
      </c>
      <c r="AT58" s="39">
        <f t="shared" si="67"/>
        <v>-3.4399999999999999E-3</v>
      </c>
      <c r="AU58" s="39">
        <f t="shared" si="68"/>
        <v>1.16E-4</v>
      </c>
      <c r="AV58" s="39">
        <f t="shared" si="69"/>
        <v>0.64513339991589935</v>
      </c>
      <c r="AX58" s="157">
        <v>8.65</v>
      </c>
      <c r="AY58" s="120">
        <f t="shared" si="70"/>
        <v>0.43250000000000005</v>
      </c>
      <c r="AZ58" s="39">
        <f t="shared" si="71"/>
        <v>0.18008537049047593</v>
      </c>
      <c r="BA58" s="118">
        <f t="shared" si="72"/>
        <v>0.2</v>
      </c>
      <c r="BB58" s="39">
        <f t="shared" si="48"/>
        <v>3.6017074098095188E-2</v>
      </c>
      <c r="BC58" s="39">
        <f t="shared" si="73"/>
        <v>0.10748001938138843</v>
      </c>
      <c r="BD58" s="39">
        <f t="shared" si="74"/>
        <v>0.32358246396995954</v>
      </c>
      <c r="BE58" s="39">
        <f t="shared" si="75"/>
        <v>0.84049538748612718</v>
      </c>
      <c r="BF58" s="39">
        <f t="shared" si="76"/>
        <v>0.73157785145608667</v>
      </c>
      <c r="BG58" s="39">
        <f t="shared" si="49"/>
        <v>0.73157785145608667</v>
      </c>
      <c r="BH58" s="39">
        <f t="shared" si="50"/>
        <v>0.24923154288007218</v>
      </c>
      <c r="BI58" s="39">
        <f t="shared" si="84"/>
        <v>0.60964820954673893</v>
      </c>
      <c r="BK58" s="129" t="str">
        <f t="shared" si="52"/>
        <v>0</v>
      </c>
      <c r="BL58" s="120" t="str">
        <f t="shared" si="53"/>
        <v>0</v>
      </c>
      <c r="BM58" s="120" t="str">
        <f t="shared" si="54"/>
        <v>No válido</v>
      </c>
      <c r="BN58" s="36"/>
      <c r="BO58" s="129" t="str">
        <f t="shared" si="77"/>
        <v>1</v>
      </c>
      <c r="BP58" s="120" t="str">
        <f t="shared" si="85"/>
        <v>0</v>
      </c>
      <c r="BQ58" s="120" t="str">
        <f t="shared" si="78"/>
        <v>0</v>
      </c>
      <c r="BR58" s="120" t="str">
        <f t="shared" si="79"/>
        <v>No válido</v>
      </c>
      <c r="BT58" s="129" t="str">
        <f t="shared" si="56"/>
        <v>0</v>
      </c>
      <c r="BU58" s="120" t="str">
        <f t="shared" si="57"/>
        <v>1</v>
      </c>
      <c r="BV58" s="120" t="str">
        <f t="shared" si="58"/>
        <v>No válido</v>
      </c>
      <c r="BX58" s="129" t="str">
        <f t="shared" si="59"/>
        <v>1</v>
      </c>
      <c r="BY58" s="129" t="str">
        <f t="shared" si="80"/>
        <v>0</v>
      </c>
      <c r="BZ58" s="27" t="str">
        <f t="shared" si="81"/>
        <v>1</v>
      </c>
      <c r="CA58" s="120" t="str">
        <f t="shared" si="60"/>
        <v>No válido</v>
      </c>
      <c r="CC58" s="129" t="str">
        <f t="shared" si="61"/>
        <v>1</v>
      </c>
      <c r="CD58" s="129" t="str">
        <f t="shared" si="82"/>
        <v>1</v>
      </c>
      <c r="CE58" s="129" t="str">
        <f t="shared" si="83"/>
        <v>0</v>
      </c>
      <c r="CF58" s="120" t="str">
        <f t="shared" si="62"/>
        <v>No válido</v>
      </c>
    </row>
    <row r="59" spans="1:84" x14ac:dyDescent="0.25">
      <c r="A59" s="150" t="s">
        <v>162</v>
      </c>
      <c r="B59" t="s">
        <v>305</v>
      </c>
      <c r="D59" s="120">
        <v>49</v>
      </c>
      <c r="E59" s="24">
        <f>'Cálculos - Distintas Ecuaciones'!F64</f>
        <v>14070</v>
      </c>
      <c r="F59" s="39">
        <f>'Cálculos - Distintas Ecuaciones'!Z64+Cunetas!J147+Cunetas!J148</f>
        <v>0.52782399210292918</v>
      </c>
      <c r="G59" s="50" t="str">
        <f t="shared" si="21"/>
        <v>1</v>
      </c>
      <c r="H59" s="120">
        <f t="shared" si="22"/>
        <v>2.4E-2</v>
      </c>
      <c r="I59" s="20">
        <v>0.03</v>
      </c>
      <c r="J59" s="45">
        <v>1.2</v>
      </c>
      <c r="K59" s="67" t="str">
        <f t="shared" si="24"/>
        <v>Circular</v>
      </c>
      <c r="L59" s="45"/>
      <c r="M59" s="45"/>
      <c r="N59" s="5">
        <v>0.38857286712439476</v>
      </c>
      <c r="O59" s="5">
        <f t="shared" si="25"/>
        <v>2.4213697151125282</v>
      </c>
      <c r="P59" s="5">
        <f t="shared" si="26"/>
        <v>1.1230290601476012</v>
      </c>
      <c r="Q59" s="5">
        <f t="shared" si="27"/>
        <v>0.3171271415587586</v>
      </c>
      <c r="R59" s="5">
        <f t="shared" si="28"/>
        <v>1.4528218290675168</v>
      </c>
      <c r="S59" s="5">
        <f t="shared" si="29"/>
        <v>0.21828357422348504</v>
      </c>
      <c r="T59" s="117">
        <f t="shared" si="30"/>
        <v>1.0000000024703433</v>
      </c>
      <c r="U59" s="5">
        <f t="shared" si="31"/>
        <v>1.6643923617150627</v>
      </c>
      <c r="V59" s="39">
        <f t="shared" si="32"/>
        <v>1.2140572580036766E-2</v>
      </c>
      <c r="W59" s="46" t="str">
        <f t="shared" si="33"/>
        <v>Aceptable</v>
      </c>
      <c r="X59" s="5">
        <f t="shared" si="34"/>
        <v>2.8399405365899393E-2</v>
      </c>
      <c r="Y59" s="5">
        <f t="shared" si="35"/>
        <v>2.839940522558683E-2</v>
      </c>
      <c r="Z59" s="5">
        <f t="shared" si="36"/>
        <v>1.4031256365121259E-10</v>
      </c>
      <c r="AB59" s="120"/>
      <c r="AC59" s="120" t="str">
        <f t="shared" si="37"/>
        <v/>
      </c>
      <c r="AD59" s="120" t="str">
        <f t="shared" si="38"/>
        <v/>
      </c>
      <c r="AE59" s="120" t="str">
        <f t="shared" si="39"/>
        <v/>
      </c>
      <c r="AF59" s="120" t="str">
        <f t="shared" si="40"/>
        <v/>
      </c>
      <c r="AG59" s="120" t="str">
        <f t="shared" si="41"/>
        <v/>
      </c>
      <c r="AH59" s="120" t="str">
        <f t="shared" si="42"/>
        <v/>
      </c>
      <c r="AI59" s="120" t="str">
        <f t="shared" si="43"/>
        <v/>
      </c>
      <c r="AJ59" s="46" t="str">
        <f t="shared" si="44"/>
        <v/>
      </c>
      <c r="AK59" s="120" t="str">
        <f t="shared" si="45"/>
        <v/>
      </c>
      <c r="AL59" s="120" t="str">
        <f t="shared" si="46"/>
        <v/>
      </c>
      <c r="AM59" s="120" t="str">
        <f t="shared" si="47"/>
        <v/>
      </c>
      <c r="AN59" s="211">
        <v>11</v>
      </c>
      <c r="AP59" s="39">
        <f t="shared" si="63"/>
        <v>0.167433</v>
      </c>
      <c r="AQ59" s="39">
        <f t="shared" si="64"/>
        <v>0.53859500000000005</v>
      </c>
      <c r="AR59" s="39">
        <f t="shared" si="65"/>
        <v>-0.14937</v>
      </c>
      <c r="AS59" s="39">
        <f t="shared" si="66"/>
        <v>3.9154000000000001E-2</v>
      </c>
      <c r="AT59" s="39">
        <f t="shared" si="67"/>
        <v>-3.4399999999999999E-3</v>
      </c>
      <c r="AU59" s="39">
        <f t="shared" si="68"/>
        <v>1.16E-4</v>
      </c>
      <c r="AV59" s="39">
        <f t="shared" si="69"/>
        <v>0.51870916460587035</v>
      </c>
      <c r="AX59" s="157">
        <v>14.4</v>
      </c>
      <c r="AY59" s="120">
        <f t="shared" si="70"/>
        <v>0.432</v>
      </c>
      <c r="AZ59" s="39">
        <f t="shared" si="71"/>
        <v>0.14119275910985951</v>
      </c>
      <c r="BA59" s="118">
        <f t="shared" si="72"/>
        <v>0.2</v>
      </c>
      <c r="BB59" s="39">
        <f t="shared" si="48"/>
        <v>2.8238551821971904E-2</v>
      </c>
      <c r="BC59" s="39">
        <f t="shared" si="73"/>
        <v>0.17482424515252942</v>
      </c>
      <c r="BD59" s="39">
        <f t="shared" si="74"/>
        <v>0.34425555608436087</v>
      </c>
      <c r="BE59" s="39">
        <f t="shared" si="75"/>
        <v>0.7942864335621973</v>
      </c>
      <c r="BF59" s="39">
        <f t="shared" si="76"/>
        <v>0.70654198964655812</v>
      </c>
      <c r="BG59" s="39">
        <f t="shared" si="49"/>
        <v>0.70654198964655812</v>
      </c>
      <c r="BH59" s="39">
        <f t="shared" si="50"/>
        <v>0.22878499137213179</v>
      </c>
      <c r="BI59" s="39">
        <f t="shared" si="84"/>
        <v>0.58878499137213181</v>
      </c>
      <c r="BK59" s="129" t="str">
        <f t="shared" si="52"/>
        <v>0</v>
      </c>
      <c r="BL59" s="120" t="str">
        <f t="shared" si="53"/>
        <v>0</v>
      </c>
      <c r="BM59" s="120" t="str">
        <f t="shared" si="54"/>
        <v>No válido</v>
      </c>
      <c r="BN59" s="36"/>
      <c r="BO59" s="129" t="str">
        <f t="shared" si="77"/>
        <v>1</v>
      </c>
      <c r="BP59" s="120" t="str">
        <f t="shared" si="85"/>
        <v>0</v>
      </c>
      <c r="BQ59" s="120" t="str">
        <f t="shared" si="78"/>
        <v>0</v>
      </c>
      <c r="BR59" s="120" t="str">
        <f t="shared" si="79"/>
        <v>No válido</v>
      </c>
      <c r="BT59" s="129" t="str">
        <f t="shared" si="56"/>
        <v>0</v>
      </c>
      <c r="BU59" s="120" t="str">
        <f t="shared" si="57"/>
        <v>1</v>
      </c>
      <c r="BV59" s="120" t="str">
        <f t="shared" si="58"/>
        <v>No válido</v>
      </c>
      <c r="BX59" s="129" t="str">
        <f t="shared" si="59"/>
        <v>1</v>
      </c>
      <c r="BY59" s="129" t="str">
        <f t="shared" si="80"/>
        <v>0</v>
      </c>
      <c r="BZ59" s="27" t="str">
        <f t="shared" si="81"/>
        <v>1</v>
      </c>
      <c r="CA59" s="120" t="str">
        <f t="shared" si="60"/>
        <v>No válido</v>
      </c>
      <c r="CC59" s="129" t="str">
        <f t="shared" si="61"/>
        <v>1</v>
      </c>
      <c r="CD59" s="129" t="str">
        <f t="shared" si="82"/>
        <v>1</v>
      </c>
      <c r="CE59" s="129" t="str">
        <f t="shared" si="83"/>
        <v>0</v>
      </c>
      <c r="CF59" s="120" t="str">
        <f t="shared" si="62"/>
        <v>No válido</v>
      </c>
    </row>
    <row r="60" spans="1:84" x14ac:dyDescent="0.25">
      <c r="A60" s="150" t="s">
        <v>162</v>
      </c>
      <c r="B60" t="s">
        <v>305</v>
      </c>
      <c r="D60" s="120">
        <v>50</v>
      </c>
      <c r="E60" s="24">
        <f>'Cálculos - Distintas Ecuaciones'!F65</f>
        <v>14724</v>
      </c>
      <c r="F60" s="39">
        <f>'Cálculos - Distintas Ecuaciones'!Z65+Cunetas!J149+Cunetas!J150</f>
        <v>0.75211517534502892</v>
      </c>
      <c r="G60" s="50" t="str">
        <f t="shared" si="21"/>
        <v>1</v>
      </c>
      <c r="H60" s="120">
        <f t="shared" si="22"/>
        <v>2.4E-2</v>
      </c>
      <c r="I60" s="20">
        <v>0.05</v>
      </c>
      <c r="J60" s="45">
        <v>1.2</v>
      </c>
      <c r="K60" s="67" t="str">
        <f t="shared" si="24"/>
        <v>Circular</v>
      </c>
      <c r="L60" s="45"/>
      <c r="M60" s="45"/>
      <c r="N60" s="5">
        <v>0.46691765530314766</v>
      </c>
      <c r="O60" s="5">
        <f t="shared" si="25"/>
        <v>2.6942645113533401</v>
      </c>
      <c r="P60" s="5">
        <f t="shared" si="26"/>
        <v>1.1701095496234328</v>
      </c>
      <c r="Q60" s="5">
        <f t="shared" si="27"/>
        <v>0.40710715083556903</v>
      </c>
      <c r="R60" s="5">
        <f t="shared" si="28"/>
        <v>1.616558706812004</v>
      </c>
      <c r="S60" s="5">
        <f t="shared" si="29"/>
        <v>0.25183567359481807</v>
      </c>
      <c r="T60" s="117">
        <f t="shared" si="30"/>
        <v>1.000000030930644</v>
      </c>
      <c r="U60" s="5">
        <f t="shared" si="31"/>
        <v>1.8474624525787535</v>
      </c>
      <c r="V60" s="39">
        <f t="shared" si="32"/>
        <v>1.2361866760437925E-2</v>
      </c>
      <c r="W60" s="46" t="str">
        <f t="shared" si="33"/>
        <v>Aceptable</v>
      </c>
      <c r="X60" s="5">
        <f t="shared" si="34"/>
        <v>5.7663326909712903E-2</v>
      </c>
      <c r="Y60" s="5">
        <f t="shared" si="35"/>
        <v>5.7663323342585393E-2</v>
      </c>
      <c r="Z60" s="5">
        <f t="shared" si="36"/>
        <v>3.56712751004018E-9</v>
      </c>
      <c r="AB60" s="120"/>
      <c r="AC60" s="120" t="str">
        <f t="shared" si="37"/>
        <v/>
      </c>
      <c r="AD60" s="120" t="str">
        <f t="shared" si="38"/>
        <v/>
      </c>
      <c r="AE60" s="120" t="str">
        <f t="shared" si="39"/>
        <v/>
      </c>
      <c r="AF60" s="120" t="str">
        <f t="shared" si="40"/>
        <v/>
      </c>
      <c r="AG60" s="120" t="str">
        <f t="shared" si="41"/>
        <v/>
      </c>
      <c r="AH60" s="120" t="str">
        <f t="shared" si="42"/>
        <v/>
      </c>
      <c r="AI60" s="120" t="str">
        <f t="shared" si="43"/>
        <v/>
      </c>
      <c r="AJ60" s="46" t="str">
        <f t="shared" si="44"/>
        <v/>
      </c>
      <c r="AK60" s="120" t="str">
        <f t="shared" si="45"/>
        <v/>
      </c>
      <c r="AL60" s="120" t="str">
        <f t="shared" si="46"/>
        <v/>
      </c>
      <c r="AM60" s="120" t="str">
        <f t="shared" si="47"/>
        <v/>
      </c>
      <c r="AN60" s="211">
        <v>8</v>
      </c>
      <c r="AP60" s="39">
        <f t="shared" si="63"/>
        <v>0.167433</v>
      </c>
      <c r="AQ60" s="39">
        <f t="shared" si="64"/>
        <v>0.53859500000000005</v>
      </c>
      <c r="AR60" s="39">
        <f t="shared" si="65"/>
        <v>-0.14937</v>
      </c>
      <c r="AS60" s="39">
        <f t="shared" si="66"/>
        <v>3.9154000000000001E-2</v>
      </c>
      <c r="AT60" s="39">
        <f t="shared" si="67"/>
        <v>-3.4399999999999999E-3</v>
      </c>
      <c r="AU60" s="39">
        <f t="shared" si="68"/>
        <v>1.16E-4</v>
      </c>
      <c r="AV60" s="39">
        <f t="shared" si="69"/>
        <v>0.62343745636192271</v>
      </c>
      <c r="AX60" s="157">
        <v>13.5</v>
      </c>
      <c r="AY60" s="120">
        <f t="shared" si="70"/>
        <v>0.67500000000000004</v>
      </c>
      <c r="AZ60" s="39">
        <f t="shared" si="71"/>
        <v>0.17396113729298179</v>
      </c>
      <c r="BA60" s="118">
        <f t="shared" si="72"/>
        <v>0.2</v>
      </c>
      <c r="BB60" s="39">
        <f t="shared" si="48"/>
        <v>3.4792227458596357E-2</v>
      </c>
      <c r="BC60" s="39">
        <f t="shared" si="73"/>
        <v>0.166885201265912</v>
      </c>
      <c r="BD60" s="39">
        <f t="shared" si="74"/>
        <v>0.37563856601749013</v>
      </c>
      <c r="BE60" s="39">
        <f t="shared" si="75"/>
        <v>0.83345882765157375</v>
      </c>
      <c r="BF60" s="39">
        <f t="shared" si="76"/>
        <v>0.53409739366906384</v>
      </c>
      <c r="BG60" s="39">
        <f t="shared" si="49"/>
        <v>0.62343745636192271</v>
      </c>
      <c r="BH60" s="39">
        <f t="shared" si="50"/>
        <v>-4.2968786365064446E-2</v>
      </c>
      <c r="BI60" s="39">
        <f t="shared" si="84"/>
        <v>0.44508116139088655</v>
      </c>
      <c r="BK60" s="129" t="str">
        <f t="shared" si="52"/>
        <v>0</v>
      </c>
      <c r="BL60" s="120" t="str">
        <f t="shared" si="53"/>
        <v>0</v>
      </c>
      <c r="BM60" s="120" t="str">
        <f t="shared" si="54"/>
        <v>No válido</v>
      </c>
      <c r="BN60" s="36"/>
      <c r="BO60" s="129" t="str">
        <f t="shared" si="77"/>
        <v>1</v>
      </c>
      <c r="BP60" s="120" t="str">
        <f t="shared" si="85"/>
        <v>0</v>
      </c>
      <c r="BQ60" s="120" t="str">
        <f t="shared" si="78"/>
        <v>0</v>
      </c>
      <c r="BR60" s="120" t="str">
        <f t="shared" si="79"/>
        <v>No válido</v>
      </c>
      <c r="BT60" s="129" t="str">
        <f t="shared" si="56"/>
        <v>0</v>
      </c>
      <c r="BU60" s="120" t="str">
        <f t="shared" si="57"/>
        <v>1</v>
      </c>
      <c r="BV60" s="120" t="str">
        <f t="shared" si="58"/>
        <v>No válido</v>
      </c>
      <c r="BX60" s="129" t="str">
        <f t="shared" si="59"/>
        <v>1</v>
      </c>
      <c r="BY60" s="129" t="str">
        <f t="shared" si="80"/>
        <v>0</v>
      </c>
      <c r="BZ60" s="27" t="str">
        <f t="shared" si="81"/>
        <v>1</v>
      </c>
      <c r="CA60" s="120" t="str">
        <f t="shared" si="60"/>
        <v>No válido</v>
      </c>
      <c r="CC60" s="129" t="str">
        <f t="shared" si="61"/>
        <v>1</v>
      </c>
      <c r="CD60" s="129" t="str">
        <f t="shared" si="82"/>
        <v>1</v>
      </c>
      <c r="CE60" s="129" t="str">
        <f t="shared" si="83"/>
        <v>0</v>
      </c>
      <c r="CF60" s="120" t="str">
        <f t="shared" si="62"/>
        <v>No válido</v>
      </c>
    </row>
    <row r="61" spans="1:84" x14ac:dyDescent="0.25">
      <c r="A61" s="150" t="s">
        <v>162</v>
      </c>
      <c r="B61" t="s">
        <v>305</v>
      </c>
      <c r="D61" s="120">
        <v>51</v>
      </c>
      <c r="E61" s="24">
        <f>'Cálculos - Distintas Ecuaciones'!F66</f>
        <v>14958.1</v>
      </c>
      <c r="F61" s="39">
        <f>'Cálculos - Distintas Ecuaciones'!Z66+Cunetas!J151+Cunetas!J152</f>
        <v>1.3002616256934214</v>
      </c>
      <c r="G61" s="50" t="str">
        <f t="shared" si="21"/>
        <v>1</v>
      </c>
      <c r="H61" s="120">
        <f t="shared" si="22"/>
        <v>2.4E-2</v>
      </c>
      <c r="I61" s="20">
        <f t="shared" si="23"/>
        <v>0.02</v>
      </c>
      <c r="J61" s="45">
        <v>1.2</v>
      </c>
      <c r="K61" s="67" t="str">
        <f t="shared" si="24"/>
        <v>Circular</v>
      </c>
      <c r="L61" s="45"/>
      <c r="M61" s="45"/>
      <c r="N61" s="5">
        <v>0.62146725358675192</v>
      </c>
      <c r="O61" s="5">
        <f t="shared" si="25"/>
        <v>3.213165441373266</v>
      </c>
      <c r="P61" s="5">
        <f t="shared" si="26"/>
        <v>1.1992316824091032</v>
      </c>
      <c r="Q61" s="5">
        <f t="shared" si="27"/>
        <v>0.59124188476495954</v>
      </c>
      <c r="R61" s="5">
        <f t="shared" si="28"/>
        <v>1.9278992648239595</v>
      </c>
      <c r="S61" s="5">
        <f t="shared" si="29"/>
        <v>0.30667675202363182</v>
      </c>
      <c r="T61" s="117">
        <f t="shared" si="30"/>
        <v>0.99999999874247347</v>
      </c>
      <c r="U61" s="5">
        <f t="shared" si="31"/>
        <v>2.1992041822448409</v>
      </c>
      <c r="V61" s="39">
        <f t="shared" si="32"/>
        <v>1.3470357300107002E-2</v>
      </c>
      <c r="W61" s="46" t="str">
        <f t="shared" si="33"/>
        <v>Aceptable</v>
      </c>
      <c r="X61" s="5">
        <f t="shared" si="34"/>
        <v>0.17234253774219152</v>
      </c>
      <c r="Y61" s="5">
        <f t="shared" si="35"/>
        <v>0.17234253817564216</v>
      </c>
      <c r="Z61" s="5">
        <f t="shared" si="36"/>
        <v>-4.3345063649447013E-10</v>
      </c>
      <c r="AB61" s="120"/>
      <c r="AC61" s="120" t="str">
        <f t="shared" si="37"/>
        <v/>
      </c>
      <c r="AD61" s="120" t="str">
        <f t="shared" si="38"/>
        <v/>
      </c>
      <c r="AE61" s="120" t="str">
        <f t="shared" si="39"/>
        <v/>
      </c>
      <c r="AF61" s="120" t="str">
        <f t="shared" si="40"/>
        <v/>
      </c>
      <c r="AG61" s="120" t="str">
        <f t="shared" si="41"/>
        <v/>
      </c>
      <c r="AH61" s="120" t="str">
        <f t="shared" si="42"/>
        <v/>
      </c>
      <c r="AI61" s="120" t="str">
        <f t="shared" si="43"/>
        <v/>
      </c>
      <c r="AJ61" s="46" t="str">
        <f t="shared" si="44"/>
        <v/>
      </c>
      <c r="AK61" s="120" t="str">
        <f t="shared" si="45"/>
        <v/>
      </c>
      <c r="AL61" s="120" t="str">
        <f t="shared" si="46"/>
        <v/>
      </c>
      <c r="AM61" s="120" t="str">
        <f t="shared" si="47"/>
        <v/>
      </c>
      <c r="AN61" s="211">
        <v>-2</v>
      </c>
      <c r="AP61" s="39">
        <f t="shared" si="63"/>
        <v>0.167433</v>
      </c>
      <c r="AQ61" s="39">
        <f t="shared" si="64"/>
        <v>0.53859500000000005</v>
      </c>
      <c r="AR61" s="39">
        <f t="shared" si="65"/>
        <v>-0.14937</v>
      </c>
      <c r="AS61" s="39">
        <f t="shared" si="66"/>
        <v>3.9154000000000001E-2</v>
      </c>
      <c r="AT61" s="39">
        <f t="shared" si="67"/>
        <v>-3.4399999999999999E-3</v>
      </c>
      <c r="AU61" s="39">
        <f t="shared" si="68"/>
        <v>1.16E-4</v>
      </c>
      <c r="AV61" s="39">
        <f t="shared" si="69"/>
        <v>0.89122203255089294</v>
      </c>
      <c r="AX61" s="157">
        <v>13.4</v>
      </c>
      <c r="AY61" s="120">
        <f t="shared" si="70"/>
        <v>0.26800000000000002</v>
      </c>
      <c r="AZ61" s="39">
        <f t="shared" si="71"/>
        <v>0.2465086154537818</v>
      </c>
      <c r="BA61" s="118">
        <f t="shared" si="72"/>
        <v>0.2</v>
      </c>
      <c r="BB61" s="39">
        <f t="shared" si="48"/>
        <v>4.9301723090756366E-2</v>
      </c>
      <c r="BC61" s="39">
        <f t="shared" si="73"/>
        <v>0.18050278782143384</v>
      </c>
      <c r="BD61" s="39">
        <f t="shared" si="74"/>
        <v>0.47631312636597201</v>
      </c>
      <c r="BE61" s="39">
        <f t="shared" si="75"/>
        <v>0.91073362679337588</v>
      </c>
      <c r="BF61" s="39">
        <f t="shared" si="76"/>
        <v>1.119046753159348</v>
      </c>
      <c r="BG61" s="39">
        <f t="shared" si="49"/>
        <v>1.119046753159348</v>
      </c>
      <c r="BH61" s="39">
        <f t="shared" si="50"/>
        <v>0.70920562763279005</v>
      </c>
      <c r="BI61" s="39">
        <f t="shared" si="84"/>
        <v>0.93253896096612332</v>
      </c>
      <c r="BK61" s="129" t="str">
        <f t="shared" si="52"/>
        <v>0</v>
      </c>
      <c r="BL61" s="120" t="str">
        <f t="shared" si="53"/>
        <v>0</v>
      </c>
      <c r="BM61" s="120" t="str">
        <f t="shared" si="54"/>
        <v>No válido</v>
      </c>
      <c r="BN61" s="36"/>
      <c r="BO61" s="129" t="str">
        <f t="shared" si="77"/>
        <v>1</v>
      </c>
      <c r="BP61" s="120" t="str">
        <f t="shared" si="85"/>
        <v>0</v>
      </c>
      <c r="BQ61" s="120" t="str">
        <f t="shared" si="78"/>
        <v>0</v>
      </c>
      <c r="BR61" s="120" t="str">
        <f t="shared" si="79"/>
        <v>No válido</v>
      </c>
      <c r="BT61" s="129" t="str">
        <f t="shared" si="56"/>
        <v>0</v>
      </c>
      <c r="BU61" s="120" t="str">
        <f t="shared" si="57"/>
        <v>1</v>
      </c>
      <c r="BV61" s="120" t="str">
        <f t="shared" si="58"/>
        <v>No válido</v>
      </c>
      <c r="BX61" s="129" t="str">
        <f t="shared" si="59"/>
        <v>1</v>
      </c>
      <c r="BY61" s="129" t="str">
        <f t="shared" si="80"/>
        <v>0</v>
      </c>
      <c r="BZ61" s="27" t="str">
        <f t="shared" si="81"/>
        <v>1</v>
      </c>
      <c r="CA61" s="120" t="str">
        <f t="shared" si="60"/>
        <v>No válido</v>
      </c>
      <c r="CC61" s="129" t="str">
        <f t="shared" si="61"/>
        <v>1</v>
      </c>
      <c r="CD61" s="129" t="str">
        <f t="shared" si="82"/>
        <v>1</v>
      </c>
      <c r="CE61" s="129" t="str">
        <f t="shared" si="83"/>
        <v>0</v>
      </c>
      <c r="CF61" s="120" t="str">
        <f t="shared" si="62"/>
        <v>No válido</v>
      </c>
    </row>
    <row r="62" spans="1:84" x14ac:dyDescent="0.25">
      <c r="A62" s="150" t="s">
        <v>162</v>
      </c>
      <c r="D62" s="120">
        <v>52</v>
      </c>
      <c r="E62" s="24">
        <f>'Cálculos - Distintas Ecuaciones'!F67</f>
        <v>15241.7</v>
      </c>
      <c r="F62" s="39">
        <f>'Cálculos - Distintas Ecuaciones'!Z67+Cunetas!J153</f>
        <v>0.98172273342441385</v>
      </c>
      <c r="G62" s="50" t="str">
        <f t="shared" si="21"/>
        <v>1</v>
      </c>
      <c r="H62" s="120">
        <f t="shared" si="22"/>
        <v>2.4E-2</v>
      </c>
      <c r="I62" s="20">
        <v>0.05</v>
      </c>
      <c r="J62" s="45">
        <v>1.2</v>
      </c>
      <c r="K62" s="67" t="str">
        <f t="shared" si="24"/>
        <v>Circular</v>
      </c>
      <c r="L62" s="45"/>
      <c r="M62" s="45"/>
      <c r="N62" s="5">
        <v>0.53649176458935544</v>
      </c>
      <c r="O62" s="5">
        <f t="shared" si="25"/>
        <v>2.9295012398964078</v>
      </c>
      <c r="P62" s="5">
        <f t="shared" si="26"/>
        <v>1.1932589057451466</v>
      </c>
      <c r="Q62" s="5">
        <f t="shared" si="27"/>
        <v>0.48941933943539789</v>
      </c>
      <c r="R62" s="5">
        <f t="shared" si="28"/>
        <v>1.7577007439378447</v>
      </c>
      <c r="S62" s="5">
        <f t="shared" si="29"/>
        <v>0.27844292671739612</v>
      </c>
      <c r="T62" s="117">
        <f t="shared" si="30"/>
        <v>0.99999999221352065</v>
      </c>
      <c r="U62" s="5">
        <f t="shared" si="31"/>
        <v>2.0058928087250192</v>
      </c>
      <c r="V62" s="39">
        <f t="shared" si="32"/>
        <v>1.2746462508045012E-2</v>
      </c>
      <c r="W62" s="46" t="str">
        <f t="shared" si="33"/>
        <v>Aceptable</v>
      </c>
      <c r="X62" s="5">
        <f t="shared" si="34"/>
        <v>9.8244599930917706E-2</v>
      </c>
      <c r="Y62" s="5">
        <f t="shared" si="35"/>
        <v>9.8244601460876824E-2</v>
      </c>
      <c r="Z62" s="5">
        <f t="shared" si="36"/>
        <v>-1.5299591177297955E-9</v>
      </c>
      <c r="AB62" s="120"/>
      <c r="AC62" s="120" t="str">
        <f t="shared" si="37"/>
        <v/>
      </c>
      <c r="AD62" s="120" t="str">
        <f t="shared" si="38"/>
        <v/>
      </c>
      <c r="AE62" s="120" t="str">
        <f t="shared" si="39"/>
        <v/>
      </c>
      <c r="AF62" s="120" t="str">
        <f t="shared" si="40"/>
        <v/>
      </c>
      <c r="AG62" s="120" t="str">
        <f t="shared" si="41"/>
        <v/>
      </c>
      <c r="AH62" s="120" t="str">
        <f t="shared" si="42"/>
        <v/>
      </c>
      <c r="AI62" s="120" t="str">
        <f t="shared" si="43"/>
        <v/>
      </c>
      <c r="AJ62" s="46" t="str">
        <f t="shared" si="44"/>
        <v/>
      </c>
      <c r="AK62" s="120" t="str">
        <f t="shared" si="45"/>
        <v/>
      </c>
      <c r="AL62" s="120" t="str">
        <f t="shared" si="46"/>
        <v/>
      </c>
      <c r="AM62" s="120" t="str">
        <f t="shared" si="47"/>
        <v/>
      </c>
      <c r="AN62" s="211">
        <v>9</v>
      </c>
      <c r="AP62" s="39">
        <f t="shared" si="63"/>
        <v>0.167433</v>
      </c>
      <c r="AQ62" s="39">
        <f t="shared" si="64"/>
        <v>0.53859500000000005</v>
      </c>
      <c r="AR62" s="39">
        <f t="shared" si="65"/>
        <v>-0.14937</v>
      </c>
      <c r="AS62" s="39">
        <f t="shared" si="66"/>
        <v>3.9154000000000001E-2</v>
      </c>
      <c r="AT62" s="39">
        <f t="shared" si="67"/>
        <v>-3.4399999999999999E-3</v>
      </c>
      <c r="AU62" s="39">
        <f t="shared" si="68"/>
        <v>1.16E-4</v>
      </c>
      <c r="AV62" s="39">
        <f t="shared" si="69"/>
        <v>0.73260984670353479</v>
      </c>
      <c r="AX62" s="157">
        <v>8.8000000000000007</v>
      </c>
      <c r="AY62" s="120">
        <f t="shared" si="70"/>
        <v>0.44000000000000006</v>
      </c>
      <c r="AZ62" s="39">
        <f t="shared" si="71"/>
        <v>0.20507675637587902</v>
      </c>
      <c r="BA62" s="118">
        <f t="shared" si="72"/>
        <v>0.2</v>
      </c>
      <c r="BB62" s="39">
        <f t="shared" si="48"/>
        <v>4.1015351275175804E-2</v>
      </c>
      <c r="BC62" s="39">
        <f t="shared" si="73"/>
        <v>0.11216887007079615</v>
      </c>
      <c r="BD62" s="39">
        <f t="shared" si="74"/>
        <v>0.35826097772185095</v>
      </c>
      <c r="BE62" s="39">
        <f t="shared" si="75"/>
        <v>0.8682458822946777</v>
      </c>
      <c r="BF62" s="39">
        <f t="shared" si="76"/>
        <v>0.7865068600165287</v>
      </c>
      <c r="BG62" s="39">
        <f t="shared" si="49"/>
        <v>0.7865068600165287</v>
      </c>
      <c r="BH62" s="39">
        <f t="shared" si="50"/>
        <v>0.28875571668044053</v>
      </c>
      <c r="BI62" s="39">
        <f t="shared" si="84"/>
        <v>0.65542238334710723</v>
      </c>
      <c r="BK62" s="129" t="str">
        <f t="shared" si="52"/>
        <v>0</v>
      </c>
      <c r="BL62" s="120" t="str">
        <f t="shared" si="53"/>
        <v>0</v>
      </c>
      <c r="BM62" s="120" t="str">
        <f t="shared" si="54"/>
        <v>No válido</v>
      </c>
      <c r="BN62" s="36"/>
      <c r="BO62" s="129" t="str">
        <f t="shared" si="77"/>
        <v>1</v>
      </c>
      <c r="BP62" s="120" t="str">
        <f t="shared" si="85"/>
        <v>0</v>
      </c>
      <c r="BQ62" s="120" t="str">
        <f t="shared" si="78"/>
        <v>0</v>
      </c>
      <c r="BR62" s="120" t="str">
        <f t="shared" si="79"/>
        <v>No válido</v>
      </c>
      <c r="BT62" s="129" t="str">
        <f t="shared" si="56"/>
        <v>0</v>
      </c>
      <c r="BU62" s="120" t="str">
        <f t="shared" si="57"/>
        <v>1</v>
      </c>
      <c r="BV62" s="120" t="str">
        <f t="shared" si="58"/>
        <v>No válido</v>
      </c>
      <c r="BX62" s="129" t="str">
        <f t="shared" si="59"/>
        <v>1</v>
      </c>
      <c r="BY62" s="129" t="str">
        <f t="shared" si="80"/>
        <v>0</v>
      </c>
      <c r="BZ62" s="27" t="str">
        <f t="shared" si="81"/>
        <v>1</v>
      </c>
      <c r="CA62" s="120" t="str">
        <f t="shared" si="60"/>
        <v>No válido</v>
      </c>
      <c r="CC62" s="129" t="str">
        <f t="shared" si="61"/>
        <v>1</v>
      </c>
      <c r="CD62" s="129" t="str">
        <f t="shared" si="82"/>
        <v>1</v>
      </c>
      <c r="CE62" s="129" t="str">
        <f t="shared" si="83"/>
        <v>0</v>
      </c>
      <c r="CF62" s="120" t="str">
        <f t="shared" si="62"/>
        <v>No válido</v>
      </c>
    </row>
    <row r="63" spans="1:84" x14ac:dyDescent="0.25">
      <c r="A63" s="150" t="s">
        <v>80</v>
      </c>
      <c r="B63" t="s">
        <v>305</v>
      </c>
      <c r="D63" s="120">
        <v>53</v>
      </c>
      <c r="E63" s="24">
        <f>'Cálculos - Distintas Ecuaciones'!F68</f>
        <v>15625</v>
      </c>
      <c r="F63" s="39">
        <f>'Cálculos - Distintas Ecuaciones'!Z68+Cunetas!J154+Cunetas!J155+Cunetas!J156</f>
        <v>1.4288452183256377</v>
      </c>
      <c r="G63" s="50" t="str">
        <f t="shared" si="21"/>
        <v>1</v>
      </c>
      <c r="H63" s="120">
        <f t="shared" si="22"/>
        <v>2.4E-2</v>
      </c>
      <c r="I63" s="20">
        <f t="shared" si="23"/>
        <v>0.02</v>
      </c>
      <c r="J63" s="45">
        <v>1.2</v>
      </c>
      <c r="K63" s="67" t="str">
        <f t="shared" si="24"/>
        <v>Circular</v>
      </c>
      <c r="L63" s="45"/>
      <c r="M63" s="45"/>
      <c r="N63" s="5">
        <v>0.65292980209036677</v>
      </c>
      <c r="O63" s="5">
        <f t="shared" si="25"/>
        <v>3.3182549690998808</v>
      </c>
      <c r="P63" s="5">
        <f t="shared" si="26"/>
        <v>1.1953216070174162</v>
      </c>
      <c r="Q63" s="5">
        <f t="shared" si="27"/>
        <v>0.62891996248486404</v>
      </c>
      <c r="R63" s="5">
        <f t="shared" si="28"/>
        <v>1.9909529814599285</v>
      </c>
      <c r="S63" s="5">
        <f t="shared" si="29"/>
        <v>0.3158889076444632</v>
      </c>
      <c r="T63" s="117">
        <f t="shared" si="30"/>
        <v>0.99999999385345417</v>
      </c>
      <c r="U63" s="5">
        <f t="shared" si="31"/>
        <v>2.2719031093881443</v>
      </c>
      <c r="V63" s="39">
        <f t="shared" si="32"/>
        <v>1.3819412929190833E-2</v>
      </c>
      <c r="W63" s="46" t="str">
        <f t="shared" si="33"/>
        <v>Aceptable</v>
      </c>
      <c r="X63" s="5">
        <f t="shared" si="34"/>
        <v>0.20811403240897441</v>
      </c>
      <c r="Y63" s="5">
        <f t="shared" si="35"/>
        <v>0.20811403496733932</v>
      </c>
      <c r="Z63" s="5">
        <f t="shared" si="36"/>
        <v>-2.5583649088112281E-9</v>
      </c>
      <c r="AB63" s="120"/>
      <c r="AC63" s="120" t="str">
        <f t="shared" si="37"/>
        <v/>
      </c>
      <c r="AD63" s="120" t="str">
        <f t="shared" si="38"/>
        <v/>
      </c>
      <c r="AE63" s="120" t="str">
        <f t="shared" si="39"/>
        <v/>
      </c>
      <c r="AF63" s="120" t="str">
        <f t="shared" si="40"/>
        <v/>
      </c>
      <c r="AG63" s="120" t="str">
        <f t="shared" si="41"/>
        <v/>
      </c>
      <c r="AH63" s="120" t="str">
        <f t="shared" si="42"/>
        <v/>
      </c>
      <c r="AI63" s="120" t="str">
        <f t="shared" si="43"/>
        <v/>
      </c>
      <c r="AJ63" s="46" t="str">
        <f t="shared" si="44"/>
        <v/>
      </c>
      <c r="AK63" s="120" t="str">
        <f t="shared" si="45"/>
        <v/>
      </c>
      <c r="AL63" s="120" t="str">
        <f t="shared" si="46"/>
        <v/>
      </c>
      <c r="AM63" s="120" t="str">
        <f t="shared" si="47"/>
        <v/>
      </c>
      <c r="AN63" s="211">
        <v>11</v>
      </c>
      <c r="AP63" s="39">
        <f t="shared" si="63"/>
        <v>0.167433</v>
      </c>
      <c r="AQ63" s="39">
        <f t="shared" si="64"/>
        <v>0.53859500000000005</v>
      </c>
      <c r="AR63" s="39">
        <f t="shared" si="65"/>
        <v>-0.14937</v>
      </c>
      <c r="AS63" s="39">
        <f t="shared" si="66"/>
        <v>3.9154000000000001E-2</v>
      </c>
      <c r="AT63" s="39">
        <f t="shared" si="67"/>
        <v>-3.4399999999999999E-3</v>
      </c>
      <c r="AU63" s="39">
        <f t="shared" si="68"/>
        <v>1.16E-4</v>
      </c>
      <c r="AV63" s="39">
        <f t="shared" si="69"/>
        <v>0.94606928591614547</v>
      </c>
      <c r="AX63" s="157">
        <v>16.55</v>
      </c>
      <c r="AY63" s="120">
        <f t="shared" si="70"/>
        <v>0.33100000000000002</v>
      </c>
      <c r="AZ63" s="39">
        <f t="shared" si="71"/>
        <v>0.2630756237740835</v>
      </c>
      <c r="BA63" s="118">
        <f t="shared" si="72"/>
        <v>0.2</v>
      </c>
      <c r="BB63" s="39">
        <f t="shared" si="48"/>
        <v>5.2615124754816701E-2</v>
      </c>
      <c r="BC63" s="39">
        <f t="shared" si="73"/>
        <v>0.22871128397810833</v>
      </c>
      <c r="BD63" s="39">
        <f t="shared" si="74"/>
        <v>0.54440203250700858</v>
      </c>
      <c r="BE63" s="39">
        <f t="shared" si="75"/>
        <v>0.92646490104518331</v>
      </c>
      <c r="BF63" s="39">
        <f t="shared" si="76"/>
        <v>1.139866933552192</v>
      </c>
      <c r="BG63" s="39">
        <f t="shared" si="49"/>
        <v>1.139866933552192</v>
      </c>
      <c r="BH63" s="39">
        <f t="shared" si="50"/>
        <v>0.67405577796016014</v>
      </c>
      <c r="BI63" s="39">
        <f t="shared" si="84"/>
        <v>0.9498891112934934</v>
      </c>
      <c r="BK63" s="129" t="str">
        <f t="shared" si="52"/>
        <v>0</v>
      </c>
      <c r="BL63" s="120" t="str">
        <f t="shared" si="53"/>
        <v>0</v>
      </c>
      <c r="BM63" s="120" t="str">
        <f t="shared" si="54"/>
        <v>No válido</v>
      </c>
      <c r="BN63" s="36"/>
      <c r="BO63" s="129" t="str">
        <f t="shared" si="77"/>
        <v>1</v>
      </c>
      <c r="BP63" s="120" t="str">
        <f t="shared" si="85"/>
        <v>0</v>
      </c>
      <c r="BQ63" s="120" t="str">
        <f t="shared" si="78"/>
        <v>0</v>
      </c>
      <c r="BR63" s="120" t="str">
        <f t="shared" si="79"/>
        <v>No válido</v>
      </c>
      <c r="BT63" s="129" t="str">
        <f t="shared" si="56"/>
        <v>0</v>
      </c>
      <c r="BU63" s="120" t="str">
        <f t="shared" si="57"/>
        <v>1</v>
      </c>
      <c r="BV63" s="120" t="str">
        <f t="shared" si="58"/>
        <v>No válido</v>
      </c>
      <c r="BX63" s="129" t="str">
        <f t="shared" si="59"/>
        <v>1</v>
      </c>
      <c r="BY63" s="129" t="str">
        <f t="shared" si="80"/>
        <v>0</v>
      </c>
      <c r="BZ63" s="27" t="str">
        <f t="shared" si="81"/>
        <v>1</v>
      </c>
      <c r="CA63" s="120" t="str">
        <f t="shared" si="60"/>
        <v>No válido</v>
      </c>
      <c r="CC63" s="129" t="str">
        <f t="shared" si="61"/>
        <v>1</v>
      </c>
      <c r="CD63" s="129" t="str">
        <f t="shared" si="82"/>
        <v>1</v>
      </c>
      <c r="CE63" s="129" t="str">
        <f t="shared" si="83"/>
        <v>0</v>
      </c>
      <c r="CF63" s="120" t="str">
        <f t="shared" si="62"/>
        <v>No válido</v>
      </c>
    </row>
    <row r="64" spans="1:84" x14ac:dyDescent="0.25">
      <c r="A64" s="27" t="s">
        <v>80</v>
      </c>
      <c r="D64" s="120">
        <v>54</v>
      </c>
      <c r="E64" s="24">
        <f>'Cálculos - Distintas Ecuaciones'!F69</f>
        <v>16008</v>
      </c>
      <c r="F64" s="39">
        <f>'Cálculos - Distintas Ecuaciones'!Z69+Cunetas!J157+Cunetas!J158</f>
        <v>0.79361924274726869</v>
      </c>
      <c r="G64" s="50" t="str">
        <f t="shared" si="21"/>
        <v>1</v>
      </c>
      <c r="H64" s="120">
        <f t="shared" si="22"/>
        <v>2.4E-2</v>
      </c>
      <c r="I64" s="20">
        <f t="shared" si="23"/>
        <v>0.02</v>
      </c>
      <c r="J64" s="45">
        <v>1.2</v>
      </c>
      <c r="K64" s="67" t="str">
        <f t="shared" si="24"/>
        <v>Circular</v>
      </c>
      <c r="L64" s="45"/>
      <c r="M64" s="45"/>
      <c r="N64" s="5">
        <v>0.48015497811514907</v>
      </c>
      <c r="O64" s="5">
        <f t="shared" si="25"/>
        <v>2.7394040440846954</v>
      </c>
      <c r="P64" s="5">
        <f t="shared" si="26"/>
        <v>1.1758183035306427</v>
      </c>
      <c r="Q64" s="5">
        <f t="shared" si="27"/>
        <v>0.42263474277562613</v>
      </c>
      <c r="R64" s="5">
        <f t="shared" si="28"/>
        <v>1.6436424264508172</v>
      </c>
      <c r="S64" s="5">
        <f t="shared" si="29"/>
        <v>0.25713302113297126</v>
      </c>
      <c r="T64" s="117">
        <f t="shared" si="30"/>
        <v>1.0000000020132063</v>
      </c>
      <c r="U64" s="5">
        <f t="shared" si="31"/>
        <v>1.8777898795901777</v>
      </c>
      <c r="V64" s="39">
        <f t="shared" si="32"/>
        <v>1.2421460660114719E-2</v>
      </c>
      <c r="W64" s="46" t="str">
        <f t="shared" si="33"/>
        <v>Aceptable</v>
      </c>
      <c r="X64" s="5">
        <f t="shared" si="34"/>
        <v>6.420300738621286E-2</v>
      </c>
      <c r="Y64" s="5">
        <f t="shared" si="35"/>
        <v>6.4203007127705061E-2</v>
      </c>
      <c r="Z64" s="5">
        <f t="shared" si="36"/>
        <v>2.585077985006734E-10</v>
      </c>
      <c r="AB64" s="120"/>
      <c r="AC64" s="120" t="str">
        <f t="shared" si="37"/>
        <v/>
      </c>
      <c r="AD64" s="120" t="str">
        <f t="shared" si="38"/>
        <v/>
      </c>
      <c r="AE64" s="120" t="str">
        <f t="shared" si="39"/>
        <v/>
      </c>
      <c r="AF64" s="120" t="str">
        <f t="shared" si="40"/>
        <v/>
      </c>
      <c r="AG64" s="120" t="str">
        <f t="shared" si="41"/>
        <v/>
      </c>
      <c r="AH64" s="120" t="str">
        <f t="shared" si="42"/>
        <v/>
      </c>
      <c r="AI64" s="120" t="str">
        <f t="shared" si="43"/>
        <v/>
      </c>
      <c r="AJ64" s="46" t="str">
        <f t="shared" si="44"/>
        <v/>
      </c>
      <c r="AK64" s="120" t="str">
        <f t="shared" si="45"/>
        <v/>
      </c>
      <c r="AL64" s="120" t="str">
        <f t="shared" si="46"/>
        <v/>
      </c>
      <c r="AM64" s="120" t="str">
        <f t="shared" si="47"/>
        <v/>
      </c>
      <c r="AN64" s="211">
        <v>10</v>
      </c>
      <c r="AP64" s="39">
        <f t="shared" si="63"/>
        <v>0.167433</v>
      </c>
      <c r="AQ64" s="39">
        <f t="shared" si="64"/>
        <v>0.53859500000000005</v>
      </c>
      <c r="AR64" s="39">
        <f t="shared" si="65"/>
        <v>-0.14937</v>
      </c>
      <c r="AS64" s="39">
        <f t="shared" si="66"/>
        <v>3.9154000000000001E-2</v>
      </c>
      <c r="AT64" s="39">
        <f t="shared" si="67"/>
        <v>-3.4399999999999999E-3</v>
      </c>
      <c r="AU64" s="39">
        <f t="shared" si="68"/>
        <v>1.16E-4</v>
      </c>
      <c r="AV64" s="39">
        <f t="shared" si="69"/>
        <v>0.66183932904777021</v>
      </c>
      <c r="AX64" s="157">
        <v>9.75</v>
      </c>
      <c r="AY64" s="120">
        <f t="shared" si="70"/>
        <v>0.19500000000000001</v>
      </c>
      <c r="AZ64" s="39">
        <f t="shared" si="71"/>
        <v>0.17971941039201295</v>
      </c>
      <c r="BA64" s="118">
        <f t="shared" si="72"/>
        <v>0.2</v>
      </c>
      <c r="BB64" s="39">
        <f t="shared" si="48"/>
        <v>3.5943882078402593E-2</v>
      </c>
      <c r="BC64" s="39">
        <f t="shared" si="73"/>
        <v>0.12110924143611851</v>
      </c>
      <c r="BD64" s="39">
        <f t="shared" si="74"/>
        <v>0.33677253390653406</v>
      </c>
      <c r="BE64" s="39">
        <f t="shared" si="75"/>
        <v>0.84007748905757451</v>
      </c>
      <c r="BF64" s="39">
        <f t="shared" si="76"/>
        <v>0.9818500229641085</v>
      </c>
      <c r="BG64" s="39">
        <f t="shared" si="49"/>
        <v>0.9818500229641085</v>
      </c>
      <c r="BH64" s="39">
        <f t="shared" si="50"/>
        <v>0.65570835247009041</v>
      </c>
      <c r="BI64" s="39">
        <f t="shared" si="84"/>
        <v>0.81820835247009049</v>
      </c>
      <c r="BK64" s="129" t="str">
        <f t="shared" si="52"/>
        <v>0</v>
      </c>
      <c r="BL64" s="120" t="str">
        <f t="shared" si="53"/>
        <v>0</v>
      </c>
      <c r="BM64" s="120" t="str">
        <f t="shared" si="54"/>
        <v>No válido</v>
      </c>
      <c r="BN64" s="36"/>
      <c r="BO64" s="129" t="str">
        <f t="shared" si="77"/>
        <v>1</v>
      </c>
      <c r="BP64" s="120" t="str">
        <f t="shared" si="85"/>
        <v>0</v>
      </c>
      <c r="BQ64" s="120" t="str">
        <f t="shared" si="78"/>
        <v>0</v>
      </c>
      <c r="BR64" s="120" t="str">
        <f t="shared" si="79"/>
        <v>No válido</v>
      </c>
      <c r="BT64" s="129" t="str">
        <f t="shared" si="56"/>
        <v>0</v>
      </c>
      <c r="BU64" s="120" t="str">
        <f t="shared" si="57"/>
        <v>1</v>
      </c>
      <c r="BV64" s="120" t="str">
        <f t="shared" si="58"/>
        <v>No válido</v>
      </c>
      <c r="BX64" s="129" t="str">
        <f t="shared" si="59"/>
        <v>1</v>
      </c>
      <c r="BY64" s="129" t="str">
        <f t="shared" si="80"/>
        <v>0</v>
      </c>
      <c r="BZ64" s="27" t="str">
        <f t="shared" si="81"/>
        <v>1</v>
      </c>
      <c r="CA64" s="120" t="str">
        <f t="shared" si="60"/>
        <v>No válido</v>
      </c>
      <c r="CC64" s="129" t="str">
        <f t="shared" si="61"/>
        <v>1</v>
      </c>
      <c r="CD64" s="129" t="str">
        <f t="shared" si="82"/>
        <v>1</v>
      </c>
      <c r="CE64" s="129" t="str">
        <f t="shared" si="83"/>
        <v>0</v>
      </c>
      <c r="CF64" s="120" t="str">
        <f t="shared" si="62"/>
        <v>No válido</v>
      </c>
    </row>
    <row r="65" spans="1:84" x14ac:dyDescent="0.25">
      <c r="A65" s="27" t="s">
        <v>80</v>
      </c>
      <c r="D65" s="120">
        <v>55</v>
      </c>
      <c r="E65" s="24">
        <f>'Cálculos - Distintas Ecuaciones'!F70</f>
        <v>16270</v>
      </c>
      <c r="F65" s="39">
        <f>'Cálculos - Distintas Ecuaciones'!Z70+Cunetas!J159</f>
        <v>0.27445672027856627</v>
      </c>
      <c r="G65" s="50" t="str">
        <f t="shared" si="21"/>
        <v>1</v>
      </c>
      <c r="H65" s="120">
        <f t="shared" si="22"/>
        <v>2.4E-2</v>
      </c>
      <c r="I65" s="20">
        <f t="shared" si="23"/>
        <v>0.02</v>
      </c>
      <c r="J65" s="45">
        <v>1.2</v>
      </c>
      <c r="K65" s="67" t="str">
        <f t="shared" si="24"/>
        <v>Circular</v>
      </c>
      <c r="L65" s="45"/>
      <c r="M65" s="45"/>
      <c r="N65" s="5">
        <v>0.27754194039501506</v>
      </c>
      <c r="O65" s="5">
        <f t="shared" si="25"/>
        <v>2.0068191810533431</v>
      </c>
      <c r="P65" s="5">
        <f t="shared" si="26"/>
        <v>1.0119699596248655</v>
      </c>
      <c r="Q65" s="5">
        <f t="shared" si="27"/>
        <v>0.19806851781001719</v>
      </c>
      <c r="R65" s="5">
        <f t="shared" si="28"/>
        <v>1.2040915086320059</v>
      </c>
      <c r="S65" s="5">
        <f t="shared" si="29"/>
        <v>0.16449623337602229</v>
      </c>
      <c r="T65" s="117">
        <f t="shared" si="30"/>
        <v>0.99999999630950365</v>
      </c>
      <c r="U65" s="5">
        <f t="shared" si="31"/>
        <v>1.38566554298053</v>
      </c>
      <c r="V65" s="39">
        <f t="shared" si="32"/>
        <v>1.2270569172566316E-2</v>
      </c>
      <c r="W65" s="46" t="str">
        <f t="shared" si="33"/>
        <v>Aceptable</v>
      </c>
      <c r="X65" s="5">
        <f t="shared" si="34"/>
        <v>7.6785414175399762E-3</v>
      </c>
      <c r="Y65" s="5">
        <f t="shared" si="35"/>
        <v>7.6785414742152345E-3</v>
      </c>
      <c r="Z65" s="5">
        <f t="shared" si="36"/>
        <v>-5.6675258236493775E-11</v>
      </c>
      <c r="AB65" s="120"/>
      <c r="AC65" s="120" t="str">
        <f t="shared" si="37"/>
        <v/>
      </c>
      <c r="AD65" s="120" t="str">
        <f t="shared" si="38"/>
        <v/>
      </c>
      <c r="AE65" s="120" t="str">
        <f t="shared" si="39"/>
        <v/>
      </c>
      <c r="AF65" s="120" t="str">
        <f t="shared" si="40"/>
        <v/>
      </c>
      <c r="AG65" s="120" t="str">
        <f t="shared" si="41"/>
        <v/>
      </c>
      <c r="AH65" s="120" t="str">
        <f t="shared" si="42"/>
        <v/>
      </c>
      <c r="AI65" s="120" t="str">
        <f t="shared" si="43"/>
        <v/>
      </c>
      <c r="AJ65" s="46" t="str">
        <f t="shared" si="44"/>
        <v/>
      </c>
      <c r="AK65" s="120" t="str">
        <f t="shared" si="45"/>
        <v/>
      </c>
      <c r="AL65" s="120" t="str">
        <f t="shared" si="46"/>
        <v/>
      </c>
      <c r="AM65" s="120" t="str">
        <f t="shared" si="47"/>
        <v/>
      </c>
      <c r="AN65" s="211">
        <v>0</v>
      </c>
      <c r="AP65" s="39">
        <f t="shared" si="63"/>
        <v>0.167433</v>
      </c>
      <c r="AQ65" s="39">
        <f t="shared" si="64"/>
        <v>0.53859500000000005</v>
      </c>
      <c r="AR65" s="39">
        <f t="shared" si="65"/>
        <v>-0.14937</v>
      </c>
      <c r="AS65" s="39">
        <f t="shared" si="66"/>
        <v>3.9154000000000001E-2</v>
      </c>
      <c r="AT65" s="39">
        <f t="shared" si="67"/>
        <v>-3.4399999999999999E-3</v>
      </c>
      <c r="AU65" s="39">
        <f t="shared" si="68"/>
        <v>1.16E-4</v>
      </c>
      <c r="AV65" s="39">
        <f t="shared" si="69"/>
        <v>0.37623178863768103</v>
      </c>
      <c r="AX65" s="157">
        <v>15</v>
      </c>
      <c r="AY65" s="120">
        <f t="shared" si="70"/>
        <v>0.3</v>
      </c>
      <c r="AZ65" s="39">
        <f t="shared" si="71"/>
        <v>9.7862843883971817E-2</v>
      </c>
      <c r="BA65" s="118">
        <f t="shared" si="72"/>
        <v>0.2</v>
      </c>
      <c r="BB65" s="39">
        <f t="shared" si="48"/>
        <v>1.9572568776794363E-2</v>
      </c>
      <c r="BC65" s="39">
        <f t="shared" si="73"/>
        <v>0.18405853758849477</v>
      </c>
      <c r="BD65" s="39">
        <f t="shared" si="74"/>
        <v>0.30149395024926096</v>
      </c>
      <c r="BE65" s="39">
        <f t="shared" si="75"/>
        <v>0.73877097019750748</v>
      </c>
      <c r="BF65" s="39">
        <f t="shared" si="76"/>
        <v>0.74026492044676839</v>
      </c>
      <c r="BG65" s="39">
        <f t="shared" si="49"/>
        <v>0.74026492044676839</v>
      </c>
      <c r="BH65" s="39">
        <f t="shared" si="50"/>
        <v>0.36688743370564036</v>
      </c>
      <c r="BI65" s="39">
        <f t="shared" si="84"/>
        <v>0.61688743370564036</v>
      </c>
      <c r="BK65" s="129" t="str">
        <f t="shared" si="52"/>
        <v>0</v>
      </c>
      <c r="BL65" s="120" t="str">
        <f t="shared" si="53"/>
        <v>0</v>
      </c>
      <c r="BM65" s="120" t="str">
        <f t="shared" si="54"/>
        <v>No válido</v>
      </c>
      <c r="BN65" s="36"/>
      <c r="BO65" s="129" t="str">
        <f t="shared" si="77"/>
        <v>1</v>
      </c>
      <c r="BP65" s="120" t="str">
        <f t="shared" si="85"/>
        <v>0</v>
      </c>
      <c r="BQ65" s="120" t="str">
        <f t="shared" si="78"/>
        <v>0</v>
      </c>
      <c r="BR65" s="120" t="str">
        <f t="shared" si="79"/>
        <v>No válido</v>
      </c>
      <c r="BT65" s="129" t="str">
        <f t="shared" si="56"/>
        <v>0</v>
      </c>
      <c r="BU65" s="120" t="str">
        <f t="shared" si="57"/>
        <v>1</v>
      </c>
      <c r="BV65" s="120" t="str">
        <f t="shared" si="58"/>
        <v>No válido</v>
      </c>
      <c r="BX65" s="129" t="str">
        <f t="shared" si="59"/>
        <v>1</v>
      </c>
      <c r="BY65" s="129" t="str">
        <f t="shared" si="80"/>
        <v>0</v>
      </c>
      <c r="BZ65" s="27" t="str">
        <f t="shared" si="81"/>
        <v>1</v>
      </c>
      <c r="CA65" s="120" t="str">
        <f t="shared" si="60"/>
        <v>No válido</v>
      </c>
      <c r="CC65" s="129" t="str">
        <f t="shared" si="61"/>
        <v>1</v>
      </c>
      <c r="CD65" s="129" t="str">
        <f t="shared" si="82"/>
        <v>1</v>
      </c>
      <c r="CE65" s="129" t="str">
        <f t="shared" si="83"/>
        <v>0</v>
      </c>
      <c r="CF65" s="120" t="str">
        <f t="shared" si="62"/>
        <v>No válido</v>
      </c>
    </row>
    <row r="66" spans="1:84" x14ac:dyDescent="0.25">
      <c r="A66" s="27" t="s">
        <v>80</v>
      </c>
      <c r="D66" s="120">
        <v>56</v>
      </c>
      <c r="E66" s="24">
        <f>'Cálculos - Distintas Ecuaciones'!F71</f>
        <v>16495.599999999999</v>
      </c>
      <c r="F66" s="39">
        <f>'Cálculos - Distintas Ecuaciones'!Z71+Cunetas!J160</f>
        <v>0.17234815321961294</v>
      </c>
      <c r="G66" s="50" t="str">
        <f t="shared" si="21"/>
        <v>1</v>
      </c>
      <c r="H66" s="120">
        <f t="shared" si="22"/>
        <v>2.4E-2</v>
      </c>
      <c r="I66" s="20">
        <f t="shared" si="23"/>
        <v>0.02</v>
      </c>
      <c r="J66" s="45">
        <v>1.2</v>
      </c>
      <c r="K66" s="67" t="str">
        <f t="shared" si="24"/>
        <v>Circular</v>
      </c>
      <c r="L66" s="45"/>
      <c r="M66" s="45"/>
      <c r="N66" s="5">
        <v>0.21882778015757115</v>
      </c>
      <c r="O66" s="5">
        <f t="shared" si="25"/>
        <v>1.7648323839700351</v>
      </c>
      <c r="P66" s="5">
        <f t="shared" si="26"/>
        <v>0.92673132853140361</v>
      </c>
      <c r="Q66" s="5">
        <f t="shared" si="27"/>
        <v>0.14104771026768712</v>
      </c>
      <c r="R66" s="5">
        <f t="shared" si="28"/>
        <v>1.0588994303820209</v>
      </c>
      <c r="S66" s="5">
        <f t="shared" si="29"/>
        <v>0.13320217786574981</v>
      </c>
      <c r="T66" s="117">
        <f t="shared" si="30"/>
        <v>0.99999998235755605</v>
      </c>
      <c r="U66" s="5">
        <f t="shared" si="31"/>
        <v>1.2219138679566108</v>
      </c>
      <c r="V66" s="39">
        <f t="shared" si="32"/>
        <v>1.2642178077828636E-2</v>
      </c>
      <c r="W66" s="46" t="str">
        <f t="shared" si="33"/>
        <v>Aceptable</v>
      </c>
      <c r="X66" s="5">
        <f t="shared" si="34"/>
        <v>3.027919053844157E-3</v>
      </c>
      <c r="Y66" s="5">
        <f t="shared" si="35"/>
        <v>3.0279191606839436E-3</v>
      </c>
      <c r="Z66" s="5">
        <f t="shared" si="36"/>
        <v>-1.0683978658374005E-10</v>
      </c>
      <c r="AB66" s="120"/>
      <c r="AC66" s="120" t="str">
        <f t="shared" si="37"/>
        <v/>
      </c>
      <c r="AD66" s="120" t="str">
        <f t="shared" si="38"/>
        <v/>
      </c>
      <c r="AE66" s="120" t="str">
        <f t="shared" si="39"/>
        <v/>
      </c>
      <c r="AF66" s="120" t="str">
        <f t="shared" si="40"/>
        <v/>
      </c>
      <c r="AG66" s="120" t="str">
        <f t="shared" si="41"/>
        <v/>
      </c>
      <c r="AH66" s="120" t="str">
        <f t="shared" si="42"/>
        <v/>
      </c>
      <c r="AI66" s="120" t="str">
        <f t="shared" si="43"/>
        <v/>
      </c>
      <c r="AJ66" s="46" t="str">
        <f t="shared" si="44"/>
        <v/>
      </c>
      <c r="AK66" s="120" t="str">
        <f t="shared" si="45"/>
        <v/>
      </c>
      <c r="AL66" s="120" t="str">
        <f t="shared" si="46"/>
        <v/>
      </c>
      <c r="AM66" s="120" t="str">
        <f t="shared" si="47"/>
        <v/>
      </c>
      <c r="AN66" s="211">
        <v>0</v>
      </c>
      <c r="AP66" s="39">
        <f t="shared" si="63"/>
        <v>0.167433</v>
      </c>
      <c r="AQ66" s="39">
        <f t="shared" si="64"/>
        <v>0.53859500000000005</v>
      </c>
      <c r="AR66" s="39">
        <f t="shared" si="65"/>
        <v>-0.14937</v>
      </c>
      <c r="AS66" s="39">
        <f t="shared" si="66"/>
        <v>3.9154000000000001E-2</v>
      </c>
      <c r="AT66" s="39">
        <f t="shared" si="67"/>
        <v>-3.4399999999999999E-3</v>
      </c>
      <c r="AU66" s="39">
        <f t="shared" si="68"/>
        <v>1.16E-4</v>
      </c>
      <c r="AV66" s="39">
        <f t="shared" si="69"/>
        <v>0.31016309215983723</v>
      </c>
      <c r="AX66" s="157">
        <v>9.3000000000000007</v>
      </c>
      <c r="AY66" s="120">
        <f t="shared" si="70"/>
        <v>0.18600000000000003</v>
      </c>
      <c r="AZ66" s="39">
        <f t="shared" si="71"/>
        <v>7.6099566804520166E-2</v>
      </c>
      <c r="BA66" s="118">
        <f t="shared" si="72"/>
        <v>0.2</v>
      </c>
      <c r="BB66" s="39">
        <f t="shared" si="48"/>
        <v>1.5219913360904034E-2</v>
      </c>
      <c r="BC66" s="39">
        <f t="shared" si="73"/>
        <v>0.11757225612380633</v>
      </c>
      <c r="BD66" s="39">
        <f t="shared" si="74"/>
        <v>0.20889173628923052</v>
      </c>
      <c r="BE66" s="39">
        <f t="shared" si="75"/>
        <v>0.70941389007878553</v>
      </c>
      <c r="BF66" s="39">
        <f t="shared" si="76"/>
        <v>0.73230562636801599</v>
      </c>
      <c r="BG66" s="39">
        <f t="shared" si="49"/>
        <v>0.73230562636801599</v>
      </c>
      <c r="BH66" s="39">
        <f t="shared" si="50"/>
        <v>0.45525468864001328</v>
      </c>
      <c r="BI66" s="39">
        <f t="shared" si="84"/>
        <v>0.61025468864001331</v>
      </c>
      <c r="BK66" s="129" t="str">
        <f t="shared" si="52"/>
        <v>0</v>
      </c>
      <c r="BL66" s="120" t="str">
        <f t="shared" si="53"/>
        <v>0</v>
      </c>
      <c r="BM66" s="120" t="str">
        <f t="shared" si="54"/>
        <v>No válido</v>
      </c>
      <c r="BN66" s="36"/>
      <c r="BO66" s="129" t="str">
        <f t="shared" si="77"/>
        <v>1</v>
      </c>
      <c r="BP66" s="120" t="str">
        <f t="shared" si="85"/>
        <v>0</v>
      </c>
      <c r="BQ66" s="120" t="str">
        <f t="shared" si="78"/>
        <v>0</v>
      </c>
      <c r="BR66" s="120" t="str">
        <f t="shared" si="79"/>
        <v>No válido</v>
      </c>
      <c r="BT66" s="129" t="str">
        <f t="shared" si="56"/>
        <v>0</v>
      </c>
      <c r="BU66" s="120" t="str">
        <f t="shared" si="57"/>
        <v>1</v>
      </c>
      <c r="BV66" s="120" t="str">
        <f t="shared" si="58"/>
        <v>No válido</v>
      </c>
      <c r="BX66" s="129" t="str">
        <f t="shared" si="59"/>
        <v>1</v>
      </c>
      <c r="BY66" s="129" t="str">
        <f t="shared" si="80"/>
        <v>0</v>
      </c>
      <c r="BZ66" s="27" t="str">
        <f t="shared" si="81"/>
        <v>1</v>
      </c>
      <c r="CA66" s="120" t="str">
        <f t="shared" si="60"/>
        <v>No válido</v>
      </c>
      <c r="CC66" s="129" t="str">
        <f t="shared" si="61"/>
        <v>1</v>
      </c>
      <c r="CD66" s="129" t="str">
        <f t="shared" si="82"/>
        <v>1</v>
      </c>
      <c r="CE66" s="129" t="str">
        <f t="shared" si="83"/>
        <v>0</v>
      </c>
      <c r="CF66" s="120" t="str">
        <f t="shared" si="62"/>
        <v>No válido</v>
      </c>
    </row>
    <row r="67" spans="1:84" x14ac:dyDescent="0.25">
      <c r="A67" s="150" t="s">
        <v>80</v>
      </c>
      <c r="D67" s="120">
        <v>57</v>
      </c>
      <c r="E67" s="24">
        <f>'Cálculos - Distintas Ecuaciones'!F72</f>
        <v>16832</v>
      </c>
      <c r="F67" s="39">
        <f>'Cálculos - Distintas Ecuaciones'!Z72+Cunetas!J161</f>
        <v>0.30211438359256249</v>
      </c>
      <c r="G67" s="50" t="str">
        <f t="shared" si="21"/>
        <v>1</v>
      </c>
      <c r="H67" s="120">
        <f t="shared" si="22"/>
        <v>2.4E-2</v>
      </c>
      <c r="I67" s="20">
        <f t="shared" si="23"/>
        <v>0.02</v>
      </c>
      <c r="J67" s="45">
        <v>1.2</v>
      </c>
      <c r="K67" s="67" t="str">
        <f t="shared" si="24"/>
        <v>Circular</v>
      </c>
      <c r="L67" s="45"/>
      <c r="M67" s="45"/>
      <c r="N67" s="5">
        <v>0.29154156776295403</v>
      </c>
      <c r="O67" s="5">
        <f t="shared" si="25"/>
        <v>2.0616826703319928</v>
      </c>
      <c r="P67" s="5">
        <f t="shared" si="26"/>
        <v>1.0292781851022854</v>
      </c>
      <c r="Q67" s="5">
        <f t="shared" si="27"/>
        <v>0.21235811300353716</v>
      </c>
      <c r="R67" s="5">
        <f t="shared" si="28"/>
        <v>1.2370096021991956</v>
      </c>
      <c r="S67" s="5">
        <f t="shared" si="29"/>
        <v>0.17167054534257459</v>
      </c>
      <c r="T67" s="117">
        <f t="shared" si="30"/>
        <v>0.99999999193325961</v>
      </c>
      <c r="U67" s="5">
        <f t="shared" si="31"/>
        <v>1.4226646645119243</v>
      </c>
      <c r="V67" s="39">
        <f t="shared" si="32"/>
        <v>1.2218930392064684E-2</v>
      </c>
      <c r="W67" s="46" t="str">
        <f t="shared" si="33"/>
        <v>Aceptable</v>
      </c>
      <c r="X67" s="5">
        <f t="shared" si="34"/>
        <v>9.3040877444968383E-3</v>
      </c>
      <c r="Y67" s="5">
        <f t="shared" si="35"/>
        <v>9.3040878946041624E-3</v>
      </c>
      <c r="Z67" s="5">
        <f t="shared" si="36"/>
        <v>-1.5010732414000305E-10</v>
      </c>
      <c r="AB67" s="120"/>
      <c r="AC67" s="120" t="str">
        <f t="shared" si="37"/>
        <v/>
      </c>
      <c r="AD67" s="120" t="str">
        <f t="shared" si="38"/>
        <v/>
      </c>
      <c r="AE67" s="120" t="str">
        <f t="shared" si="39"/>
        <v/>
      </c>
      <c r="AF67" s="120" t="str">
        <f t="shared" si="40"/>
        <v/>
      </c>
      <c r="AG67" s="120" t="str">
        <f t="shared" si="41"/>
        <v/>
      </c>
      <c r="AH67" s="120" t="str">
        <f t="shared" si="42"/>
        <v/>
      </c>
      <c r="AI67" s="120" t="str">
        <f t="shared" si="43"/>
        <v/>
      </c>
      <c r="AJ67" s="46" t="str">
        <f t="shared" si="44"/>
        <v/>
      </c>
      <c r="AK67" s="120" t="str">
        <f t="shared" si="45"/>
        <v/>
      </c>
      <c r="AL67" s="120" t="str">
        <f t="shared" si="46"/>
        <v/>
      </c>
      <c r="AM67" s="120" t="str">
        <f t="shared" si="47"/>
        <v/>
      </c>
      <c r="AN67" s="211">
        <v>-3</v>
      </c>
      <c r="AP67" s="39">
        <f t="shared" si="63"/>
        <v>0.167433</v>
      </c>
      <c r="AQ67" s="39">
        <f t="shared" si="64"/>
        <v>0.53859500000000005</v>
      </c>
      <c r="AR67" s="39">
        <f t="shared" si="65"/>
        <v>-0.14937</v>
      </c>
      <c r="AS67" s="39">
        <f t="shared" si="66"/>
        <v>3.9154000000000001E-2</v>
      </c>
      <c r="AT67" s="39">
        <f t="shared" si="67"/>
        <v>-3.4399999999999999E-3</v>
      </c>
      <c r="AU67" s="39">
        <f t="shared" si="68"/>
        <v>1.16E-4</v>
      </c>
      <c r="AV67" s="39">
        <f t="shared" si="69"/>
        <v>0.39346090844491183</v>
      </c>
      <c r="AX67" s="157">
        <v>11.6</v>
      </c>
      <c r="AY67" s="120">
        <f t="shared" si="70"/>
        <v>0.23199999999999998</v>
      </c>
      <c r="AZ67" s="39">
        <f t="shared" si="71"/>
        <v>0.10315875370289633</v>
      </c>
      <c r="BA67" s="118">
        <f t="shared" si="72"/>
        <v>0.2</v>
      </c>
      <c r="BB67" s="39">
        <f t="shared" si="48"/>
        <v>2.0631750740579269E-2</v>
      </c>
      <c r="BC67" s="39">
        <f t="shared" si="73"/>
        <v>0.14173959254795035</v>
      </c>
      <c r="BD67" s="39">
        <f t="shared" si="74"/>
        <v>0.26553009699142593</v>
      </c>
      <c r="BE67" s="39">
        <f t="shared" si="75"/>
        <v>0.745770783881477</v>
      </c>
      <c r="BF67" s="39">
        <f t="shared" si="76"/>
        <v>0.77930088087290295</v>
      </c>
      <c r="BG67" s="39">
        <f t="shared" si="49"/>
        <v>0.77930088087290295</v>
      </c>
      <c r="BH67" s="39">
        <f t="shared" si="50"/>
        <v>0.4560840673940858</v>
      </c>
      <c r="BI67" s="39">
        <f t="shared" si="84"/>
        <v>0.64941740072741916</v>
      </c>
      <c r="BK67" s="129" t="str">
        <f t="shared" si="52"/>
        <v>0</v>
      </c>
      <c r="BL67" s="120" t="str">
        <f t="shared" si="53"/>
        <v>0</v>
      </c>
      <c r="BM67" s="120" t="str">
        <f t="shared" si="54"/>
        <v>No válido</v>
      </c>
      <c r="BN67" s="36"/>
      <c r="BO67" s="129" t="str">
        <f t="shared" si="77"/>
        <v>1</v>
      </c>
      <c r="BP67" s="120" t="str">
        <f t="shared" si="85"/>
        <v>0</v>
      </c>
      <c r="BQ67" s="120" t="str">
        <f t="shared" si="78"/>
        <v>0</v>
      </c>
      <c r="BR67" s="120" t="str">
        <f t="shared" si="79"/>
        <v>No válido</v>
      </c>
      <c r="BT67" s="129" t="str">
        <f t="shared" si="56"/>
        <v>0</v>
      </c>
      <c r="BU67" s="120" t="str">
        <f t="shared" si="57"/>
        <v>1</v>
      </c>
      <c r="BV67" s="120" t="str">
        <f t="shared" si="58"/>
        <v>No válido</v>
      </c>
      <c r="BX67" s="129" t="str">
        <f t="shared" si="59"/>
        <v>1</v>
      </c>
      <c r="BY67" s="129" t="str">
        <f t="shared" si="80"/>
        <v>0</v>
      </c>
      <c r="BZ67" s="27" t="str">
        <f t="shared" si="81"/>
        <v>1</v>
      </c>
      <c r="CA67" s="120" t="str">
        <f t="shared" si="60"/>
        <v>No válido</v>
      </c>
      <c r="CC67" s="129" t="str">
        <f t="shared" si="61"/>
        <v>1</v>
      </c>
      <c r="CD67" s="129" t="str">
        <f t="shared" si="82"/>
        <v>1</v>
      </c>
      <c r="CE67" s="129" t="str">
        <f t="shared" si="83"/>
        <v>0</v>
      </c>
      <c r="CF67" s="120" t="str">
        <f t="shared" si="62"/>
        <v>No válido</v>
      </c>
    </row>
    <row r="68" spans="1:84" x14ac:dyDescent="0.25">
      <c r="A68" s="111" t="s">
        <v>80</v>
      </c>
      <c r="B68" t="s">
        <v>305</v>
      </c>
      <c r="D68" s="120">
        <v>58</v>
      </c>
      <c r="E68" s="24">
        <f>'Cálculos - Distintas Ecuaciones'!F73</f>
        <v>17228</v>
      </c>
      <c r="F68" s="39">
        <f>'Cálculos - Distintas Ecuaciones'!Z73+Cunetas!J162+Cunetas!J163+Cunetas!J164</f>
        <v>0.17396558911431359</v>
      </c>
      <c r="G68" s="50" t="str">
        <f t="shared" si="21"/>
        <v>1</v>
      </c>
      <c r="H68" s="120">
        <f t="shared" si="22"/>
        <v>2.4E-2</v>
      </c>
      <c r="I68" s="20">
        <f t="shared" si="23"/>
        <v>0.02</v>
      </c>
      <c r="J68" s="45">
        <v>1.2</v>
      </c>
      <c r="K68" s="67" t="str">
        <f t="shared" si="24"/>
        <v>Circular</v>
      </c>
      <c r="L68" s="45"/>
      <c r="M68" s="45"/>
      <c r="N68" s="5">
        <v>0.2198719047026132</v>
      </c>
      <c r="O68" s="5">
        <f t="shared" si="25"/>
        <v>1.7693349165422667</v>
      </c>
      <c r="P68" s="5">
        <f t="shared" si="26"/>
        <v>0.92844521898834886</v>
      </c>
      <c r="Q68" s="5">
        <f t="shared" si="27"/>
        <v>0.14201622863660487</v>
      </c>
      <c r="R68" s="5">
        <f t="shared" si="28"/>
        <v>1.06160094992536</v>
      </c>
      <c r="S68" s="5">
        <f t="shared" si="29"/>
        <v>0.13377552897497866</v>
      </c>
      <c r="T68" s="117">
        <f t="shared" si="30"/>
        <v>1.0000000630797705</v>
      </c>
      <c r="U68" s="5">
        <f t="shared" si="31"/>
        <v>1.2249697853860184</v>
      </c>
      <c r="V68" s="39">
        <f t="shared" si="32"/>
        <v>1.2632937113591541E-2</v>
      </c>
      <c r="W68" s="46" t="str">
        <f t="shared" si="33"/>
        <v>Aceptable</v>
      </c>
      <c r="X68" s="5">
        <f t="shared" si="34"/>
        <v>3.0850179608450743E-3</v>
      </c>
      <c r="Y68" s="5">
        <f t="shared" si="35"/>
        <v>3.0850175716406626E-3</v>
      </c>
      <c r="Z68" s="5">
        <f t="shared" si="36"/>
        <v>3.8920441175482878E-10</v>
      </c>
      <c r="AB68" s="120"/>
      <c r="AC68" s="120" t="str">
        <f t="shared" si="37"/>
        <v/>
      </c>
      <c r="AD68" s="120" t="str">
        <f t="shared" si="38"/>
        <v/>
      </c>
      <c r="AE68" s="120" t="str">
        <f t="shared" si="39"/>
        <v/>
      </c>
      <c r="AF68" s="120" t="str">
        <f t="shared" si="40"/>
        <v/>
      </c>
      <c r="AG68" s="120" t="str">
        <f t="shared" si="41"/>
        <v/>
      </c>
      <c r="AH68" s="120" t="str">
        <f t="shared" si="42"/>
        <v/>
      </c>
      <c r="AI68" s="120" t="str">
        <f t="shared" si="43"/>
        <v/>
      </c>
      <c r="AJ68" s="46" t="str">
        <f t="shared" si="44"/>
        <v/>
      </c>
      <c r="AK68" s="120" t="str">
        <f t="shared" si="45"/>
        <v/>
      </c>
      <c r="AL68" s="120" t="str">
        <f t="shared" si="46"/>
        <v/>
      </c>
      <c r="AM68" s="120" t="str">
        <f t="shared" si="47"/>
        <v/>
      </c>
      <c r="AN68" s="211">
        <v>0</v>
      </c>
      <c r="AP68" s="39">
        <f t="shared" si="63"/>
        <v>0.167433</v>
      </c>
      <c r="AQ68" s="39">
        <f t="shared" si="64"/>
        <v>0.53859500000000005</v>
      </c>
      <c r="AR68" s="39">
        <f t="shared" si="65"/>
        <v>-0.14937</v>
      </c>
      <c r="AS68" s="39">
        <f t="shared" si="66"/>
        <v>3.9154000000000001E-2</v>
      </c>
      <c r="AT68" s="39">
        <f t="shared" si="67"/>
        <v>-3.4399999999999999E-3</v>
      </c>
      <c r="AU68" s="39">
        <f t="shared" si="68"/>
        <v>1.16E-4</v>
      </c>
      <c r="AV68" s="39">
        <f t="shared" si="69"/>
        <v>0.31124117890781539</v>
      </c>
      <c r="AX68" s="157">
        <v>11.4</v>
      </c>
      <c r="AY68" s="120">
        <f t="shared" si="70"/>
        <v>0.22800000000000001</v>
      </c>
      <c r="AZ68" s="39">
        <f t="shared" si="71"/>
        <v>7.6480681707883177E-2</v>
      </c>
      <c r="BA68" s="118">
        <f t="shared" si="72"/>
        <v>0.2</v>
      </c>
      <c r="BB68" s="39">
        <f t="shared" si="48"/>
        <v>1.5296136341576637E-2</v>
      </c>
      <c r="BC68" s="39">
        <f t="shared" si="73"/>
        <v>0.14401548309494358</v>
      </c>
      <c r="BD68" s="39">
        <f t="shared" si="74"/>
        <v>0.23579230114440339</v>
      </c>
      <c r="BE68" s="39">
        <f t="shared" si="75"/>
        <v>0.70993595235130658</v>
      </c>
      <c r="BF68" s="39">
        <f t="shared" si="76"/>
        <v>0.71772825349571001</v>
      </c>
      <c r="BG68" s="39">
        <f t="shared" si="49"/>
        <v>0.71772825349571001</v>
      </c>
      <c r="BH68" s="39">
        <f t="shared" si="50"/>
        <v>0.40810687791309169</v>
      </c>
      <c r="BI68" s="39">
        <f t="shared" si="84"/>
        <v>0.59810687791309169</v>
      </c>
      <c r="BK68" s="129" t="str">
        <f t="shared" si="52"/>
        <v>0</v>
      </c>
      <c r="BL68" s="120" t="str">
        <f t="shared" si="53"/>
        <v>0</v>
      </c>
      <c r="BM68" s="120" t="str">
        <f t="shared" si="54"/>
        <v>No válido</v>
      </c>
      <c r="BN68" s="36"/>
      <c r="BO68" s="129" t="str">
        <f t="shared" si="77"/>
        <v>1</v>
      </c>
      <c r="BP68" s="120" t="str">
        <f t="shared" si="85"/>
        <v>0</v>
      </c>
      <c r="BQ68" s="120" t="str">
        <f t="shared" si="78"/>
        <v>0</v>
      </c>
      <c r="BR68" s="120" t="str">
        <f t="shared" si="79"/>
        <v>No válido</v>
      </c>
      <c r="BT68" s="129" t="str">
        <f t="shared" si="56"/>
        <v>0</v>
      </c>
      <c r="BU68" s="120" t="str">
        <f t="shared" si="57"/>
        <v>1</v>
      </c>
      <c r="BV68" s="120" t="str">
        <f t="shared" si="58"/>
        <v>No válido</v>
      </c>
      <c r="BX68" s="129" t="str">
        <f t="shared" si="59"/>
        <v>1</v>
      </c>
      <c r="BY68" s="129" t="str">
        <f t="shared" si="80"/>
        <v>0</v>
      </c>
      <c r="BZ68" s="27" t="str">
        <f t="shared" si="81"/>
        <v>1</v>
      </c>
      <c r="CA68" s="120" t="str">
        <f t="shared" si="60"/>
        <v>No válido</v>
      </c>
      <c r="CC68" s="129" t="str">
        <f t="shared" si="61"/>
        <v>1</v>
      </c>
      <c r="CD68" s="129" t="str">
        <f t="shared" si="82"/>
        <v>1</v>
      </c>
      <c r="CE68" s="129" t="str">
        <f t="shared" si="83"/>
        <v>0</v>
      </c>
      <c r="CF68" s="120" t="str">
        <f t="shared" si="62"/>
        <v>No válido</v>
      </c>
    </row>
    <row r="69" spans="1:84" x14ac:dyDescent="0.25">
      <c r="A69" s="150" t="s">
        <v>80</v>
      </c>
      <c r="B69" t="s">
        <v>305</v>
      </c>
      <c r="D69" s="120">
        <v>59</v>
      </c>
      <c r="E69" s="24">
        <f>'Cálculos - Distintas Ecuaciones'!F74</f>
        <v>17385</v>
      </c>
      <c r="F69" s="39">
        <f>'Cálculos - Distintas Ecuaciones'!Z74+Cunetas!J165</f>
        <v>0.24234368221632924</v>
      </c>
      <c r="G69" s="50" t="str">
        <f t="shared" si="21"/>
        <v>1</v>
      </c>
      <c r="H69" s="120">
        <f t="shared" si="22"/>
        <v>2.4E-2</v>
      </c>
      <c r="I69" s="20">
        <f t="shared" si="23"/>
        <v>0.02</v>
      </c>
      <c r="J69" s="45">
        <v>1.2</v>
      </c>
      <c r="K69" s="67" t="str">
        <f t="shared" si="24"/>
        <v>Circular</v>
      </c>
      <c r="L69" s="45"/>
      <c r="M69" s="45"/>
      <c r="N69" s="5">
        <v>0.26041597608530875</v>
      </c>
      <c r="O69" s="5">
        <f t="shared" si="25"/>
        <v>1.9383657594838908</v>
      </c>
      <c r="P69" s="5">
        <f t="shared" si="26"/>
        <v>0.98930822437075971</v>
      </c>
      <c r="Q69" s="5">
        <f t="shared" si="27"/>
        <v>0.18092920284523989</v>
      </c>
      <c r="R69" s="5">
        <f t="shared" si="28"/>
        <v>1.1630194556903344</v>
      </c>
      <c r="S69" s="5">
        <f t="shared" si="29"/>
        <v>0.15556850915950121</v>
      </c>
      <c r="T69" s="117">
        <f t="shared" si="30"/>
        <v>1.0000000087595597</v>
      </c>
      <c r="U69" s="5">
        <f t="shared" si="31"/>
        <v>1.3394392856725346</v>
      </c>
      <c r="V69" s="39">
        <f t="shared" si="32"/>
        <v>1.2351118701941019E-2</v>
      </c>
      <c r="W69" s="46" t="str">
        <f t="shared" si="33"/>
        <v>Aceptable</v>
      </c>
      <c r="X69" s="5">
        <f t="shared" si="34"/>
        <v>5.9867951386512915E-3</v>
      </c>
      <c r="Y69" s="5">
        <f t="shared" si="35"/>
        <v>5.9867950337679143E-3</v>
      </c>
      <c r="Z69" s="5">
        <f t="shared" si="36"/>
        <v>1.0488337715691687E-10</v>
      </c>
      <c r="AB69" s="120"/>
      <c r="AC69" s="120" t="str">
        <f t="shared" si="37"/>
        <v/>
      </c>
      <c r="AD69" s="120" t="str">
        <f t="shared" si="38"/>
        <v/>
      </c>
      <c r="AE69" s="120" t="str">
        <f t="shared" si="39"/>
        <v/>
      </c>
      <c r="AF69" s="120" t="str">
        <f t="shared" si="40"/>
        <v/>
      </c>
      <c r="AG69" s="120" t="str">
        <f t="shared" si="41"/>
        <v/>
      </c>
      <c r="AH69" s="120" t="str">
        <f t="shared" si="42"/>
        <v/>
      </c>
      <c r="AI69" s="120" t="str">
        <f t="shared" si="43"/>
        <v/>
      </c>
      <c r="AJ69" s="46" t="str">
        <f t="shared" si="44"/>
        <v/>
      </c>
      <c r="AK69" s="120" t="str">
        <f t="shared" si="45"/>
        <v/>
      </c>
      <c r="AL69" s="120" t="str">
        <f t="shared" si="46"/>
        <v/>
      </c>
      <c r="AM69" s="120" t="str">
        <f t="shared" si="47"/>
        <v/>
      </c>
      <c r="AN69" s="211">
        <v>13</v>
      </c>
      <c r="AP69" s="39">
        <f t="shared" si="63"/>
        <v>0.167433</v>
      </c>
      <c r="AQ69" s="39">
        <f t="shared" si="64"/>
        <v>0.53859500000000005</v>
      </c>
      <c r="AR69" s="39">
        <f t="shared" si="65"/>
        <v>-0.14937</v>
      </c>
      <c r="AS69" s="39">
        <f t="shared" si="66"/>
        <v>3.9154000000000001E-2</v>
      </c>
      <c r="AT69" s="39">
        <f t="shared" si="67"/>
        <v>-3.4399999999999999E-3</v>
      </c>
      <c r="AU69" s="39">
        <f t="shared" si="68"/>
        <v>1.16E-4</v>
      </c>
      <c r="AV69" s="39">
        <f t="shared" si="69"/>
        <v>0.35587935728377579</v>
      </c>
      <c r="AX69" s="157">
        <v>11.8</v>
      </c>
      <c r="AY69" s="120">
        <f t="shared" si="70"/>
        <v>0.23600000000000002</v>
      </c>
      <c r="AZ69" s="39">
        <f t="shared" si="71"/>
        <v>9.1442283384452067E-2</v>
      </c>
      <c r="BA69" s="118">
        <f t="shared" si="72"/>
        <v>0.2</v>
      </c>
      <c r="BB69" s="39">
        <f t="shared" si="48"/>
        <v>1.8288456676890413E-2</v>
      </c>
      <c r="BC69" s="39">
        <f t="shared" si="73"/>
        <v>0.145743200682904</v>
      </c>
      <c r="BD69" s="39">
        <f t="shared" si="74"/>
        <v>0.25547394074424645</v>
      </c>
      <c r="BE69" s="39">
        <f t="shared" si="75"/>
        <v>0.73020798804265441</v>
      </c>
      <c r="BF69" s="39">
        <f t="shared" si="76"/>
        <v>0.74968192878690088</v>
      </c>
      <c r="BG69" s="39">
        <f t="shared" si="49"/>
        <v>0.74968192878690088</v>
      </c>
      <c r="BH69" s="39">
        <f t="shared" si="50"/>
        <v>0.42806827398908409</v>
      </c>
      <c r="BI69" s="39">
        <f t="shared" si="84"/>
        <v>0.62473494065575075</v>
      </c>
      <c r="BK69" s="129" t="str">
        <f t="shared" si="52"/>
        <v>0</v>
      </c>
      <c r="BL69" s="120" t="str">
        <f t="shared" si="53"/>
        <v>0</v>
      </c>
      <c r="BM69" s="120" t="str">
        <f t="shared" si="54"/>
        <v>No válido</v>
      </c>
      <c r="BN69" s="36"/>
      <c r="BO69" s="129" t="str">
        <f t="shared" si="77"/>
        <v>1</v>
      </c>
      <c r="BP69" s="120" t="str">
        <f t="shared" si="85"/>
        <v>0</v>
      </c>
      <c r="BQ69" s="120" t="str">
        <f t="shared" si="78"/>
        <v>0</v>
      </c>
      <c r="BR69" s="120" t="str">
        <f t="shared" si="79"/>
        <v>No válido</v>
      </c>
      <c r="BT69" s="129" t="str">
        <f t="shared" si="56"/>
        <v>0</v>
      </c>
      <c r="BU69" s="120" t="str">
        <f t="shared" si="57"/>
        <v>1</v>
      </c>
      <c r="BV69" s="120" t="str">
        <f t="shared" si="58"/>
        <v>No válido</v>
      </c>
      <c r="BX69" s="129" t="str">
        <f t="shared" si="59"/>
        <v>1</v>
      </c>
      <c r="BY69" s="129" t="str">
        <f t="shared" si="80"/>
        <v>0</v>
      </c>
      <c r="BZ69" s="27" t="str">
        <f t="shared" si="81"/>
        <v>1</v>
      </c>
      <c r="CA69" s="120" t="str">
        <f t="shared" si="60"/>
        <v>No válido</v>
      </c>
      <c r="CC69" s="129" t="str">
        <f t="shared" si="61"/>
        <v>1</v>
      </c>
      <c r="CD69" s="129" t="str">
        <f t="shared" si="82"/>
        <v>1</v>
      </c>
      <c r="CE69" s="129" t="str">
        <f t="shared" si="83"/>
        <v>0</v>
      </c>
      <c r="CF69" s="120" t="str">
        <f t="shared" si="62"/>
        <v>No válido</v>
      </c>
    </row>
    <row r="70" spans="1:84" x14ac:dyDescent="0.25">
      <c r="A70" s="150" t="s">
        <v>80</v>
      </c>
      <c r="B70" t="s">
        <v>305</v>
      </c>
      <c r="D70" s="120">
        <v>60</v>
      </c>
      <c r="E70" s="24">
        <f>'Cálculos - Distintas Ecuaciones'!F75</f>
        <v>17585</v>
      </c>
      <c r="F70" s="39">
        <f>'Cálculos - Distintas Ecuaciones'!Z75+Cunetas!J166+Cunetas!J167+Cunetas!J168</f>
        <v>0.22567174329225975</v>
      </c>
      <c r="G70" s="50" t="str">
        <f t="shared" si="21"/>
        <v>1</v>
      </c>
      <c r="H70" s="120">
        <f t="shared" si="22"/>
        <v>2.4E-2</v>
      </c>
      <c r="I70" s="20">
        <f t="shared" si="23"/>
        <v>0.02</v>
      </c>
      <c r="J70" s="45">
        <v>1.2</v>
      </c>
      <c r="K70" s="67" t="str">
        <f t="shared" si="24"/>
        <v>Circular</v>
      </c>
      <c r="L70" s="45"/>
      <c r="M70" s="45"/>
      <c r="N70" s="5">
        <v>0.25109741858036039</v>
      </c>
      <c r="O70" s="5">
        <f t="shared" si="25"/>
        <v>1.9004395614529594</v>
      </c>
      <c r="P70" s="5">
        <f t="shared" si="26"/>
        <v>0.9762519934498709</v>
      </c>
      <c r="Q70" s="5">
        <f t="shared" si="27"/>
        <v>0.17177070074616815</v>
      </c>
      <c r="R70" s="5">
        <f t="shared" si="28"/>
        <v>1.1402637368717756</v>
      </c>
      <c r="S70" s="5">
        <f t="shared" si="29"/>
        <v>0.15064120272508852</v>
      </c>
      <c r="T70" s="117">
        <f t="shared" si="30"/>
        <v>1.0000000365744726</v>
      </c>
      <c r="U70" s="5">
        <f t="shared" si="31"/>
        <v>1.3137964874798009</v>
      </c>
      <c r="V70" s="39">
        <f t="shared" si="32"/>
        <v>1.2403768258933337E-2</v>
      </c>
      <c r="W70" s="46" t="str">
        <f t="shared" si="33"/>
        <v>Aceptable</v>
      </c>
      <c r="X70" s="5">
        <f t="shared" si="34"/>
        <v>5.1914103690690709E-3</v>
      </c>
      <c r="Y70" s="5">
        <f t="shared" si="35"/>
        <v>5.1914099893229006E-3</v>
      </c>
      <c r="Z70" s="5">
        <f t="shared" si="36"/>
        <v>3.7974617027314306E-10</v>
      </c>
      <c r="AB70" s="120"/>
      <c r="AC70" s="120" t="str">
        <f t="shared" si="37"/>
        <v/>
      </c>
      <c r="AD70" s="120" t="str">
        <f t="shared" si="38"/>
        <v/>
      </c>
      <c r="AE70" s="120" t="str">
        <f t="shared" si="39"/>
        <v/>
      </c>
      <c r="AF70" s="120" t="str">
        <f t="shared" si="40"/>
        <v/>
      </c>
      <c r="AG70" s="120" t="str">
        <f t="shared" si="41"/>
        <v/>
      </c>
      <c r="AH70" s="120" t="str">
        <f t="shared" si="42"/>
        <v/>
      </c>
      <c r="AI70" s="120" t="str">
        <f t="shared" si="43"/>
        <v/>
      </c>
      <c r="AJ70" s="46" t="str">
        <f t="shared" si="44"/>
        <v/>
      </c>
      <c r="AK70" s="120" t="str">
        <f t="shared" si="45"/>
        <v/>
      </c>
      <c r="AL70" s="120" t="str">
        <f t="shared" si="46"/>
        <v/>
      </c>
      <c r="AM70" s="120" t="str">
        <f t="shared" si="47"/>
        <v/>
      </c>
      <c r="AN70" s="211">
        <v>26</v>
      </c>
      <c r="AP70" s="39">
        <f t="shared" si="63"/>
        <v>0.167433</v>
      </c>
      <c r="AQ70" s="39">
        <f t="shared" si="64"/>
        <v>0.53859500000000005</v>
      </c>
      <c r="AR70" s="39">
        <f t="shared" si="65"/>
        <v>-0.14937</v>
      </c>
      <c r="AS70" s="39">
        <f t="shared" si="66"/>
        <v>3.9154000000000001E-2</v>
      </c>
      <c r="AT70" s="39">
        <f t="shared" si="67"/>
        <v>-3.4399999999999999E-3</v>
      </c>
      <c r="AU70" s="39">
        <f t="shared" si="68"/>
        <v>1.16E-4</v>
      </c>
      <c r="AV70" s="39">
        <f t="shared" si="69"/>
        <v>0.3451617275346715</v>
      </c>
      <c r="AX70" s="157">
        <v>11.4</v>
      </c>
      <c r="AY70" s="120">
        <f t="shared" si="70"/>
        <v>0.22800000000000001</v>
      </c>
      <c r="AZ70" s="39">
        <f t="shared" si="71"/>
        <v>8.7974577498178524E-2</v>
      </c>
      <c r="BA70" s="118">
        <f t="shared" si="72"/>
        <v>0.2</v>
      </c>
      <c r="BB70" s="39">
        <f t="shared" si="48"/>
        <v>1.7594915499635707E-2</v>
      </c>
      <c r="BC70" s="39">
        <f t="shared" si="73"/>
        <v>0.14140295815184004</v>
      </c>
      <c r="BD70" s="39">
        <f t="shared" si="74"/>
        <v>0.24697245114965427</v>
      </c>
      <c r="BE70" s="39">
        <f t="shared" si="75"/>
        <v>0.72554870929018023</v>
      </c>
      <c r="BF70" s="39">
        <f t="shared" si="76"/>
        <v>0.74452116043983452</v>
      </c>
      <c r="BG70" s="39">
        <f t="shared" si="49"/>
        <v>0.74452116043983452</v>
      </c>
      <c r="BH70" s="39">
        <f t="shared" si="50"/>
        <v>0.4304343003665288</v>
      </c>
      <c r="BI70" s="39">
        <f t="shared" si="84"/>
        <v>0.6204343003665288</v>
      </c>
      <c r="BK70" s="129" t="str">
        <f t="shared" si="52"/>
        <v>0</v>
      </c>
      <c r="BL70" s="120" t="str">
        <f t="shared" si="53"/>
        <v>0</v>
      </c>
      <c r="BM70" s="120" t="str">
        <f t="shared" si="54"/>
        <v>No válido</v>
      </c>
      <c r="BN70" s="36"/>
      <c r="BO70" s="129" t="str">
        <f t="shared" si="77"/>
        <v>1</v>
      </c>
      <c r="BP70" s="120" t="str">
        <f t="shared" si="85"/>
        <v>0</v>
      </c>
      <c r="BQ70" s="120" t="str">
        <f t="shared" si="78"/>
        <v>0</v>
      </c>
      <c r="BR70" s="120" t="str">
        <f t="shared" si="79"/>
        <v>No válido</v>
      </c>
      <c r="BT70" s="129" t="str">
        <f t="shared" si="56"/>
        <v>0</v>
      </c>
      <c r="BU70" s="120" t="str">
        <f t="shared" si="57"/>
        <v>1</v>
      </c>
      <c r="BV70" s="120" t="str">
        <f t="shared" si="58"/>
        <v>No válido</v>
      </c>
      <c r="BX70" s="129" t="str">
        <f t="shared" si="59"/>
        <v>1</v>
      </c>
      <c r="BY70" s="129" t="str">
        <f t="shared" si="80"/>
        <v>0</v>
      </c>
      <c r="BZ70" s="27" t="str">
        <f t="shared" si="81"/>
        <v>1</v>
      </c>
      <c r="CA70" s="120" t="str">
        <f t="shared" si="60"/>
        <v>No válido</v>
      </c>
      <c r="CC70" s="129" t="str">
        <f t="shared" si="61"/>
        <v>1</v>
      </c>
      <c r="CD70" s="129" t="str">
        <f t="shared" si="82"/>
        <v>1</v>
      </c>
      <c r="CE70" s="129" t="str">
        <f t="shared" si="83"/>
        <v>0</v>
      </c>
      <c r="CF70" s="120" t="str">
        <f t="shared" si="62"/>
        <v>No válido</v>
      </c>
    </row>
    <row r="71" spans="1:84" x14ac:dyDescent="0.25">
      <c r="A71" s="150" t="s">
        <v>80</v>
      </c>
      <c r="B71" t="s">
        <v>305</v>
      </c>
      <c r="D71" s="120">
        <v>61</v>
      </c>
      <c r="E71" s="24">
        <f>'Cálculos - Distintas Ecuaciones'!F76</f>
        <v>18037.5</v>
      </c>
      <c r="F71" s="39">
        <f>'Cálculos - Distintas Ecuaciones'!Z76+Cunetas!J169+Cunetas!J170+Cunetas!J171</f>
        <v>0.22469622721980001</v>
      </c>
      <c r="G71" s="50" t="str">
        <f t="shared" si="21"/>
        <v>1</v>
      </c>
      <c r="H71" s="120">
        <f t="shared" si="22"/>
        <v>2.4E-2</v>
      </c>
      <c r="I71" s="20">
        <f t="shared" si="23"/>
        <v>0.02</v>
      </c>
      <c r="J71" s="45">
        <v>1.2</v>
      </c>
      <c r="K71" s="67" t="str">
        <f t="shared" si="24"/>
        <v>Circular</v>
      </c>
      <c r="L71" s="45"/>
      <c r="M71" s="45"/>
      <c r="N71" s="5">
        <v>0.25054216814366875</v>
      </c>
      <c r="O71" s="5">
        <f t="shared" si="25"/>
        <v>1.8981636061729568</v>
      </c>
      <c r="P71" s="5">
        <f t="shared" si="26"/>
        <v>0.97545727482913791</v>
      </c>
      <c r="Q71" s="5">
        <f t="shared" si="27"/>
        <v>0.17122885694599418</v>
      </c>
      <c r="R71" s="5">
        <f t="shared" si="28"/>
        <v>1.1388981637037741</v>
      </c>
      <c r="S71" s="5">
        <f t="shared" si="29"/>
        <v>0.15034606464650566</v>
      </c>
      <c r="T71" s="117">
        <f t="shared" si="30"/>
        <v>0.99999992275432459</v>
      </c>
      <c r="U71" s="5">
        <f t="shared" si="31"/>
        <v>1.3122567727627212</v>
      </c>
      <c r="V71" s="39">
        <f t="shared" si="32"/>
        <v>1.240711219578562E-2</v>
      </c>
      <c r="W71" s="46" t="str">
        <f t="shared" si="33"/>
        <v>Aceptable</v>
      </c>
      <c r="X71" s="5">
        <f t="shared" si="34"/>
        <v>5.1466253340277258E-3</v>
      </c>
      <c r="Y71" s="5">
        <f t="shared" si="35"/>
        <v>5.1466261291369187E-3</v>
      </c>
      <c r="Z71" s="5">
        <f t="shared" si="36"/>
        <v>-7.9510919289565996E-10</v>
      </c>
      <c r="AB71" s="120"/>
      <c r="AC71" s="120" t="str">
        <f t="shared" si="37"/>
        <v/>
      </c>
      <c r="AD71" s="120" t="str">
        <f t="shared" si="38"/>
        <v/>
      </c>
      <c r="AE71" s="120" t="str">
        <f t="shared" si="39"/>
        <v/>
      </c>
      <c r="AF71" s="120" t="str">
        <f t="shared" si="40"/>
        <v/>
      </c>
      <c r="AG71" s="120" t="str">
        <f t="shared" si="41"/>
        <v/>
      </c>
      <c r="AH71" s="120" t="str">
        <f t="shared" si="42"/>
        <v/>
      </c>
      <c r="AI71" s="120" t="str">
        <f t="shared" si="43"/>
        <v/>
      </c>
      <c r="AJ71" s="46" t="str">
        <f t="shared" si="44"/>
        <v/>
      </c>
      <c r="AK71" s="120" t="str">
        <f t="shared" si="45"/>
        <v/>
      </c>
      <c r="AL71" s="120" t="str">
        <f t="shared" si="46"/>
        <v/>
      </c>
      <c r="AM71" s="120" t="str">
        <f t="shared" si="47"/>
        <v/>
      </c>
      <c r="AN71" s="211">
        <v>0</v>
      </c>
      <c r="AP71" s="39">
        <f t="shared" si="63"/>
        <v>0.167433</v>
      </c>
      <c r="AQ71" s="39">
        <f t="shared" si="64"/>
        <v>0.53859500000000005</v>
      </c>
      <c r="AR71" s="39">
        <f t="shared" si="65"/>
        <v>-0.14937</v>
      </c>
      <c r="AS71" s="39">
        <f t="shared" si="66"/>
        <v>3.9154000000000001E-2</v>
      </c>
      <c r="AT71" s="39">
        <f t="shared" si="67"/>
        <v>-3.4399999999999999E-3</v>
      </c>
      <c r="AU71" s="39">
        <f t="shared" si="68"/>
        <v>1.16E-4</v>
      </c>
      <c r="AV71" s="39">
        <f t="shared" si="69"/>
        <v>0.34453135350270025</v>
      </c>
      <c r="AX71" s="157">
        <v>11.4</v>
      </c>
      <c r="AY71" s="120">
        <f t="shared" si="70"/>
        <v>0.22800000000000001</v>
      </c>
      <c r="AZ71" s="39">
        <f t="shared" si="71"/>
        <v>8.7768493254925181E-2</v>
      </c>
      <c r="BA71" s="118">
        <f t="shared" si="72"/>
        <v>0.2</v>
      </c>
      <c r="BB71" s="39">
        <f t="shared" si="48"/>
        <v>1.7553698650985036E-2</v>
      </c>
      <c r="BC71" s="39">
        <f t="shared" si="73"/>
        <v>0.1414410790319561</v>
      </c>
      <c r="BD71" s="39">
        <f t="shared" si="74"/>
        <v>0.24676327093786632</v>
      </c>
      <c r="BE71" s="39">
        <f t="shared" si="75"/>
        <v>0.72527108407183438</v>
      </c>
      <c r="BF71" s="39">
        <f t="shared" si="76"/>
        <v>0.74403435500970072</v>
      </c>
      <c r="BG71" s="39">
        <f t="shared" si="49"/>
        <v>0.74403435500970072</v>
      </c>
      <c r="BH71" s="39">
        <f t="shared" si="50"/>
        <v>0.43002862917475065</v>
      </c>
      <c r="BI71" s="39">
        <f t="shared" si="84"/>
        <v>0.62002862917475066</v>
      </c>
      <c r="BK71" s="129" t="str">
        <f t="shared" si="52"/>
        <v>0</v>
      </c>
      <c r="BL71" s="120" t="str">
        <f t="shared" si="53"/>
        <v>0</v>
      </c>
      <c r="BM71" s="120" t="str">
        <f t="shared" si="54"/>
        <v>No válido</v>
      </c>
      <c r="BN71" s="36"/>
      <c r="BO71" s="129" t="str">
        <f t="shared" si="77"/>
        <v>1</v>
      </c>
      <c r="BP71" s="120" t="str">
        <f t="shared" si="85"/>
        <v>0</v>
      </c>
      <c r="BQ71" s="120" t="str">
        <f t="shared" si="78"/>
        <v>0</v>
      </c>
      <c r="BR71" s="120" t="str">
        <f t="shared" si="79"/>
        <v>No válido</v>
      </c>
      <c r="BT71" s="129" t="str">
        <f t="shared" si="56"/>
        <v>0</v>
      </c>
      <c r="BU71" s="120" t="str">
        <f t="shared" si="57"/>
        <v>1</v>
      </c>
      <c r="BV71" s="120" t="str">
        <f t="shared" si="58"/>
        <v>No válido</v>
      </c>
      <c r="BX71" s="129" t="str">
        <f t="shared" si="59"/>
        <v>1</v>
      </c>
      <c r="BY71" s="129" t="str">
        <f t="shared" si="80"/>
        <v>0</v>
      </c>
      <c r="BZ71" s="27" t="str">
        <f t="shared" si="81"/>
        <v>1</v>
      </c>
      <c r="CA71" s="120" t="str">
        <f t="shared" si="60"/>
        <v>No válido</v>
      </c>
      <c r="CC71" s="129" t="str">
        <f t="shared" si="61"/>
        <v>1</v>
      </c>
      <c r="CD71" s="129" t="str">
        <f t="shared" si="82"/>
        <v>1</v>
      </c>
      <c r="CE71" s="129" t="str">
        <f t="shared" si="83"/>
        <v>0</v>
      </c>
      <c r="CF71" s="120" t="str">
        <f t="shared" si="62"/>
        <v>No válido</v>
      </c>
    </row>
    <row r="72" spans="1:84" x14ac:dyDescent="0.25">
      <c r="A72" s="150" t="s">
        <v>80</v>
      </c>
      <c r="D72" s="120">
        <v>62</v>
      </c>
      <c r="E72" s="24">
        <f>'Cálculos - Distintas Ecuaciones'!F77</f>
        <v>18301.599999999999</v>
      </c>
      <c r="F72" s="39">
        <f>'Cálculos - Distintas Ecuaciones'!Z77+Cunetas!J172+Cunetas!J173+Cunetas!J174</f>
        <v>6.5236193337821116E-2</v>
      </c>
      <c r="G72" s="50" t="str">
        <f t="shared" si="21"/>
        <v>1</v>
      </c>
      <c r="H72" s="120">
        <f t="shared" si="22"/>
        <v>2.4E-2</v>
      </c>
      <c r="I72" s="20">
        <f t="shared" si="23"/>
        <v>0.02</v>
      </c>
      <c r="J72" s="45">
        <v>1.2</v>
      </c>
      <c r="K72" s="67" t="str">
        <f t="shared" si="24"/>
        <v>Circular</v>
      </c>
      <c r="L72" s="45"/>
      <c r="M72" s="45"/>
      <c r="N72" s="5">
        <v>0.13365294569803801</v>
      </c>
      <c r="O72" s="5">
        <f t="shared" si="25"/>
        <v>1.3610417506807395</v>
      </c>
      <c r="P72" s="5">
        <f t="shared" si="26"/>
        <v>0.75503754858651351</v>
      </c>
      <c r="Q72" s="5">
        <f t="shared" si="27"/>
        <v>6.893274678718557E-2</v>
      </c>
      <c r="R72" s="5">
        <f t="shared" si="28"/>
        <v>0.81662505040844369</v>
      </c>
      <c r="S72" s="5">
        <f t="shared" si="29"/>
        <v>8.441174655701307E-2</v>
      </c>
      <c r="T72" s="117">
        <f t="shared" si="30"/>
        <v>1.0000000137290288</v>
      </c>
      <c r="U72" s="5">
        <f t="shared" si="31"/>
        <v>0.94637449366733151</v>
      </c>
      <c r="V72" s="39">
        <f t="shared" si="32"/>
        <v>1.393193229775962E-2</v>
      </c>
      <c r="W72" s="46" t="str">
        <f t="shared" si="33"/>
        <v>Aceptable</v>
      </c>
      <c r="X72" s="5">
        <f t="shared" si="34"/>
        <v>4.3381864640260715E-4</v>
      </c>
      <c r="Y72" s="5">
        <f t="shared" si="35"/>
        <v>4.3381863449079019E-4</v>
      </c>
      <c r="Z72" s="5">
        <f t="shared" si="36"/>
        <v>1.1911816964662453E-11</v>
      </c>
      <c r="AB72" s="120"/>
      <c r="AC72" s="120" t="str">
        <f t="shared" si="37"/>
        <v/>
      </c>
      <c r="AD72" s="120" t="str">
        <f t="shared" si="38"/>
        <v/>
      </c>
      <c r="AE72" s="120" t="str">
        <f t="shared" si="39"/>
        <v/>
      </c>
      <c r="AF72" s="120" t="str">
        <f t="shared" si="40"/>
        <v/>
      </c>
      <c r="AG72" s="120" t="str">
        <f t="shared" si="41"/>
        <v/>
      </c>
      <c r="AH72" s="120" t="str">
        <f t="shared" si="42"/>
        <v/>
      </c>
      <c r="AI72" s="120" t="str">
        <f t="shared" si="43"/>
        <v/>
      </c>
      <c r="AJ72" s="46" t="str">
        <f t="shared" si="44"/>
        <v/>
      </c>
      <c r="AK72" s="120" t="str">
        <f t="shared" si="45"/>
        <v/>
      </c>
      <c r="AL72" s="120" t="str">
        <f t="shared" si="46"/>
        <v/>
      </c>
      <c r="AM72" s="120" t="str">
        <f t="shared" si="47"/>
        <v/>
      </c>
      <c r="AN72" s="211">
        <v>0</v>
      </c>
      <c r="AP72" s="39">
        <f t="shared" si="63"/>
        <v>0.167433</v>
      </c>
      <c r="AQ72" s="39">
        <f t="shared" si="64"/>
        <v>0.53859500000000005</v>
      </c>
      <c r="AR72" s="39">
        <f t="shared" si="65"/>
        <v>-0.14937</v>
      </c>
      <c r="AS72" s="39">
        <f t="shared" si="66"/>
        <v>3.9154000000000001E-2</v>
      </c>
      <c r="AT72" s="39">
        <f t="shared" si="67"/>
        <v>-3.4399999999999999E-3</v>
      </c>
      <c r="AU72" s="39">
        <f t="shared" si="68"/>
        <v>1.16E-4</v>
      </c>
      <c r="AV72" s="39">
        <f t="shared" si="69"/>
        <v>0.23634751285808908</v>
      </c>
      <c r="AX72" s="157">
        <v>8.6</v>
      </c>
      <c r="AY72" s="120">
        <f t="shared" si="70"/>
        <v>0.17199999999999999</v>
      </c>
      <c r="AZ72" s="39">
        <f t="shared" si="71"/>
        <v>4.5648556690321002E-2</v>
      </c>
      <c r="BA72" s="118">
        <f t="shared" si="72"/>
        <v>0.2</v>
      </c>
      <c r="BB72" s="39">
        <f t="shared" si="48"/>
        <v>9.1297113380642003E-3</v>
      </c>
      <c r="BC72" s="39">
        <f t="shared" si="73"/>
        <v>0.11981461776073274</v>
      </c>
      <c r="BD72" s="39">
        <f t="shared" si="74"/>
        <v>0.17459288578911794</v>
      </c>
      <c r="BE72" s="39">
        <f t="shared" si="75"/>
        <v>0.66682647284901897</v>
      </c>
      <c r="BF72" s="39">
        <f t="shared" si="76"/>
        <v>0.66941935863813695</v>
      </c>
      <c r="BG72" s="39">
        <f t="shared" si="49"/>
        <v>0.66941935863813695</v>
      </c>
      <c r="BH72" s="39">
        <f t="shared" si="50"/>
        <v>0.41451613219844746</v>
      </c>
      <c r="BI72" s="39">
        <f t="shared" si="84"/>
        <v>0.55784946553178083</v>
      </c>
      <c r="BK72" s="129" t="str">
        <f t="shared" si="52"/>
        <v>0</v>
      </c>
      <c r="BL72" s="120" t="str">
        <f t="shared" si="53"/>
        <v>0</v>
      </c>
      <c r="BM72" s="120" t="str">
        <f t="shared" si="54"/>
        <v>No válido</v>
      </c>
      <c r="BN72" s="36"/>
      <c r="BO72" s="129" t="str">
        <f t="shared" si="77"/>
        <v>1</v>
      </c>
      <c r="BP72" s="120" t="str">
        <f t="shared" si="85"/>
        <v>0</v>
      </c>
      <c r="BQ72" s="120" t="str">
        <f t="shared" si="78"/>
        <v>0</v>
      </c>
      <c r="BR72" s="120" t="str">
        <f t="shared" si="79"/>
        <v>No válido</v>
      </c>
      <c r="BT72" s="129" t="str">
        <f t="shared" si="56"/>
        <v>0</v>
      </c>
      <c r="BU72" s="120" t="str">
        <f t="shared" si="57"/>
        <v>1</v>
      </c>
      <c r="BV72" s="120" t="str">
        <f t="shared" si="58"/>
        <v>No válido</v>
      </c>
      <c r="BX72" s="129" t="str">
        <f t="shared" si="59"/>
        <v>1</v>
      </c>
      <c r="BY72" s="129" t="str">
        <f t="shared" si="80"/>
        <v>0</v>
      </c>
      <c r="BZ72" s="27" t="str">
        <f t="shared" si="81"/>
        <v>1</v>
      </c>
      <c r="CA72" s="120" t="str">
        <f t="shared" si="60"/>
        <v>No válido</v>
      </c>
      <c r="CC72" s="129" t="str">
        <f t="shared" si="61"/>
        <v>1</v>
      </c>
      <c r="CD72" s="129" t="str">
        <f t="shared" si="82"/>
        <v>1</v>
      </c>
      <c r="CE72" s="129" t="str">
        <f t="shared" si="83"/>
        <v>0</v>
      </c>
      <c r="CF72" s="120" t="str">
        <f t="shared" si="62"/>
        <v>No válido</v>
      </c>
    </row>
    <row r="73" spans="1:84" x14ac:dyDescent="0.25">
      <c r="A73" s="150" t="s">
        <v>80</v>
      </c>
      <c r="D73" s="120">
        <v>63</v>
      </c>
      <c r="E73" s="24">
        <f>'Cálculos - Distintas Ecuaciones'!F78</f>
        <v>18773</v>
      </c>
      <c r="F73" s="39">
        <f>'Cálculos - Distintas Ecuaciones'!Z78+Cunetas!J175+Cunetas!J176+Cunetas!J177</f>
        <v>0.11936831840609362</v>
      </c>
      <c r="G73" s="50" t="str">
        <f t="shared" si="21"/>
        <v>1</v>
      </c>
      <c r="H73" s="120">
        <f t="shared" si="22"/>
        <v>2.4E-2</v>
      </c>
      <c r="I73" s="20">
        <f t="shared" si="23"/>
        <v>0.02</v>
      </c>
      <c r="J73" s="45">
        <v>1.2</v>
      </c>
      <c r="K73" s="67" t="str">
        <f t="shared" si="24"/>
        <v>Circular</v>
      </c>
      <c r="L73" s="45"/>
      <c r="M73" s="45"/>
      <c r="N73" s="5">
        <v>0.18153262180449503</v>
      </c>
      <c r="O73" s="5">
        <f t="shared" si="25"/>
        <v>1.59793884487344</v>
      </c>
      <c r="P73" s="5">
        <f t="shared" si="26"/>
        <v>0.85996523973049077</v>
      </c>
      <c r="Q73" s="5">
        <f t="shared" si="27"/>
        <v>0.10769529247257545</v>
      </c>
      <c r="R73" s="5">
        <f t="shared" si="28"/>
        <v>0.95876330692406397</v>
      </c>
      <c r="S73" s="5">
        <f t="shared" si="29"/>
        <v>0.11232729881798151</v>
      </c>
      <c r="T73" s="117">
        <f t="shared" si="30"/>
        <v>0.9999998633730911</v>
      </c>
      <c r="U73" s="5">
        <f t="shared" si="31"/>
        <v>1.1083893795681989</v>
      </c>
      <c r="V73" s="39">
        <f t="shared" si="32"/>
        <v>1.305650004340929E-2</v>
      </c>
      <c r="W73" s="46" t="str">
        <f t="shared" si="33"/>
        <v>Aceptable</v>
      </c>
      <c r="X73" s="5">
        <f t="shared" si="34"/>
        <v>1.4524765992964882E-3</v>
      </c>
      <c r="Y73" s="5">
        <f t="shared" si="35"/>
        <v>1.4524769961913458E-3</v>
      </c>
      <c r="Z73" s="5">
        <f t="shared" si="36"/>
        <v>-3.9689485769114907E-10</v>
      </c>
      <c r="AB73" s="120"/>
      <c r="AC73" s="120" t="str">
        <f t="shared" si="37"/>
        <v/>
      </c>
      <c r="AD73" s="120" t="str">
        <f t="shared" si="38"/>
        <v/>
      </c>
      <c r="AE73" s="120" t="str">
        <f t="shared" si="39"/>
        <v/>
      </c>
      <c r="AF73" s="120" t="str">
        <f t="shared" si="40"/>
        <v/>
      </c>
      <c r="AG73" s="120" t="str">
        <f t="shared" si="41"/>
        <v/>
      </c>
      <c r="AH73" s="120" t="str">
        <f t="shared" si="42"/>
        <v/>
      </c>
      <c r="AI73" s="120" t="str">
        <f t="shared" si="43"/>
        <v/>
      </c>
      <c r="AJ73" s="46" t="str">
        <f t="shared" si="44"/>
        <v/>
      </c>
      <c r="AK73" s="120" t="str">
        <f t="shared" si="45"/>
        <v/>
      </c>
      <c r="AL73" s="120" t="str">
        <f t="shared" si="46"/>
        <v/>
      </c>
      <c r="AM73" s="120" t="str">
        <f t="shared" si="47"/>
        <v/>
      </c>
      <c r="AN73" s="211">
        <v>0</v>
      </c>
      <c r="AP73" s="39">
        <f t="shared" si="63"/>
        <v>0.167433</v>
      </c>
      <c r="AQ73" s="39">
        <f t="shared" si="64"/>
        <v>0.53859500000000005</v>
      </c>
      <c r="AR73" s="39">
        <f t="shared" si="65"/>
        <v>-0.14937</v>
      </c>
      <c r="AS73" s="39">
        <f t="shared" si="66"/>
        <v>3.9154000000000001E-2</v>
      </c>
      <c r="AT73" s="39">
        <f t="shared" si="67"/>
        <v>-3.4399999999999999E-3</v>
      </c>
      <c r="AU73" s="39">
        <f t="shared" si="68"/>
        <v>1.16E-4</v>
      </c>
      <c r="AV73" s="39">
        <f t="shared" si="69"/>
        <v>0.27425910236265955</v>
      </c>
      <c r="AX73" s="157">
        <v>10.95</v>
      </c>
      <c r="AY73" s="120">
        <f t="shared" si="70"/>
        <v>0.219</v>
      </c>
      <c r="AZ73" s="39">
        <f t="shared" si="71"/>
        <v>6.261605589906101E-2</v>
      </c>
      <c r="BA73" s="118">
        <f t="shared" si="72"/>
        <v>0.2</v>
      </c>
      <c r="BB73" s="39">
        <f t="shared" si="48"/>
        <v>1.2523211179812203E-2</v>
      </c>
      <c r="BC73" s="39">
        <f t="shared" si="73"/>
        <v>0.14296867547533176</v>
      </c>
      <c r="BD73" s="39">
        <f t="shared" si="74"/>
        <v>0.21810794255420496</v>
      </c>
      <c r="BE73" s="39">
        <f t="shared" si="75"/>
        <v>0.69076631090224749</v>
      </c>
      <c r="BF73" s="39">
        <f t="shared" si="76"/>
        <v>0.68987425345645248</v>
      </c>
      <c r="BG73" s="39">
        <f t="shared" si="49"/>
        <v>0.68987425345645248</v>
      </c>
      <c r="BH73" s="39">
        <f t="shared" si="50"/>
        <v>0.39239521121371046</v>
      </c>
      <c r="BI73" s="39">
        <f t="shared" si="84"/>
        <v>0.57489521121371046</v>
      </c>
      <c r="BK73" s="129" t="str">
        <f t="shared" si="52"/>
        <v>0</v>
      </c>
      <c r="BL73" s="120" t="str">
        <f t="shared" si="53"/>
        <v>0</v>
      </c>
      <c r="BM73" s="120" t="str">
        <f t="shared" si="54"/>
        <v>No válido</v>
      </c>
      <c r="BN73" s="36"/>
      <c r="BO73" s="129" t="str">
        <f t="shared" si="77"/>
        <v>1</v>
      </c>
      <c r="BP73" s="120" t="str">
        <f t="shared" si="85"/>
        <v>0</v>
      </c>
      <c r="BQ73" s="120" t="str">
        <f t="shared" si="78"/>
        <v>0</v>
      </c>
      <c r="BR73" s="120" t="str">
        <f t="shared" si="79"/>
        <v>No válido</v>
      </c>
      <c r="BT73" s="129" t="str">
        <f t="shared" si="56"/>
        <v>0</v>
      </c>
      <c r="BU73" s="120" t="str">
        <f t="shared" si="57"/>
        <v>1</v>
      </c>
      <c r="BV73" s="120" t="str">
        <f t="shared" si="58"/>
        <v>No válido</v>
      </c>
      <c r="BX73" s="129" t="str">
        <f t="shared" si="59"/>
        <v>1</v>
      </c>
      <c r="BY73" s="129" t="str">
        <f t="shared" si="80"/>
        <v>0</v>
      </c>
      <c r="BZ73" s="27" t="str">
        <f t="shared" si="81"/>
        <v>1</v>
      </c>
      <c r="CA73" s="120" t="str">
        <f t="shared" si="60"/>
        <v>No válido</v>
      </c>
      <c r="CC73" s="129" t="str">
        <f t="shared" si="61"/>
        <v>1</v>
      </c>
      <c r="CD73" s="129" t="str">
        <f t="shared" si="82"/>
        <v>1</v>
      </c>
      <c r="CE73" s="129" t="str">
        <f t="shared" si="83"/>
        <v>0</v>
      </c>
      <c r="CF73" s="120" t="str">
        <f t="shared" si="62"/>
        <v>No válido</v>
      </c>
    </row>
    <row r="74" spans="1:84" x14ac:dyDescent="0.25">
      <c r="A74" s="150" t="s">
        <v>162</v>
      </c>
      <c r="D74" s="120">
        <v>64</v>
      </c>
      <c r="E74" s="24">
        <f>'Cálculos - Distintas Ecuaciones'!F79</f>
        <v>19002</v>
      </c>
      <c r="F74" s="39">
        <f>'Cálculos - Distintas Ecuaciones'!Z79+Cunetas!J178</f>
        <v>0.13836649036743809</v>
      </c>
      <c r="G74" s="50" t="str">
        <f t="shared" si="21"/>
        <v>1</v>
      </c>
      <c r="H74" s="120">
        <f t="shared" si="22"/>
        <v>2.4E-2</v>
      </c>
      <c r="I74" s="20">
        <v>0.05</v>
      </c>
      <c r="J74" s="45">
        <v>1.2</v>
      </c>
      <c r="K74" s="67" t="str">
        <f t="shared" si="24"/>
        <v>Circular</v>
      </c>
      <c r="L74" s="45"/>
      <c r="M74" s="45"/>
      <c r="N74" s="5">
        <v>0.19568254549716327</v>
      </c>
      <c r="O74" s="5">
        <f t="shared" si="25"/>
        <v>1.6627447015941481</v>
      </c>
      <c r="P74" s="5">
        <f t="shared" si="26"/>
        <v>0.88662821065956732</v>
      </c>
      <c r="Q74" s="5">
        <f t="shared" si="27"/>
        <v>0.12005441567480606</v>
      </c>
      <c r="R74" s="5">
        <f t="shared" si="28"/>
        <v>0.99764682095648882</v>
      </c>
      <c r="S74" s="5">
        <f t="shared" si="29"/>
        <v>0.12033759157344329</v>
      </c>
      <c r="T74" s="117">
        <f t="shared" si="30"/>
        <v>0.99999996988886719</v>
      </c>
      <c r="U74" s="5">
        <f t="shared" si="31"/>
        <v>1.1525314549215278</v>
      </c>
      <c r="V74" s="39">
        <f t="shared" si="32"/>
        <v>1.2878332596494587E-2</v>
      </c>
      <c r="W74" s="46" t="str">
        <f t="shared" si="33"/>
        <v>Aceptable</v>
      </c>
      <c r="X74" s="5">
        <f t="shared" si="34"/>
        <v>1.9516091393070678E-3</v>
      </c>
      <c r="Y74" s="5">
        <f t="shared" si="35"/>
        <v>1.9516092568373973E-3</v>
      </c>
      <c r="Z74" s="5">
        <f t="shared" si="36"/>
        <v>-1.1753032943574715E-10</v>
      </c>
      <c r="AB74" s="120"/>
      <c r="AC74" s="120" t="str">
        <f t="shared" si="37"/>
        <v/>
      </c>
      <c r="AD74" s="120" t="str">
        <f t="shared" si="38"/>
        <v/>
      </c>
      <c r="AE74" s="120" t="str">
        <f t="shared" si="39"/>
        <v/>
      </c>
      <c r="AF74" s="120" t="str">
        <f t="shared" si="40"/>
        <v/>
      </c>
      <c r="AG74" s="120" t="str">
        <f t="shared" si="41"/>
        <v/>
      </c>
      <c r="AH74" s="120" t="str">
        <f t="shared" si="42"/>
        <v/>
      </c>
      <c r="AI74" s="120" t="str">
        <f t="shared" si="43"/>
        <v/>
      </c>
      <c r="AJ74" s="46" t="str">
        <f t="shared" si="44"/>
        <v/>
      </c>
      <c r="AK74" s="120" t="str">
        <f t="shared" si="45"/>
        <v/>
      </c>
      <c r="AL74" s="120" t="str">
        <f t="shared" si="46"/>
        <v/>
      </c>
      <c r="AM74" s="120" t="str">
        <f t="shared" si="47"/>
        <v/>
      </c>
      <c r="AN74" s="211">
        <v>15</v>
      </c>
      <c r="AP74" s="39">
        <f t="shared" si="63"/>
        <v>0.167433</v>
      </c>
      <c r="AQ74" s="39">
        <f t="shared" si="64"/>
        <v>0.53859500000000005</v>
      </c>
      <c r="AR74" s="39">
        <f t="shared" si="65"/>
        <v>-0.14937</v>
      </c>
      <c r="AS74" s="39">
        <f t="shared" si="66"/>
        <v>3.9154000000000001E-2</v>
      </c>
      <c r="AT74" s="39">
        <f t="shared" si="67"/>
        <v>-3.4399999999999999E-3</v>
      </c>
      <c r="AU74" s="39">
        <f t="shared" si="68"/>
        <v>1.16E-4</v>
      </c>
      <c r="AV74" s="39">
        <f t="shared" si="69"/>
        <v>0.26926739644477021</v>
      </c>
      <c r="AX74" s="157">
        <v>8.6999999999999993</v>
      </c>
      <c r="AY74" s="120">
        <f t="shared" si="70"/>
        <v>0.435</v>
      </c>
      <c r="AZ74" s="39">
        <f t="shared" si="71"/>
        <v>6.7702790753493045E-2</v>
      </c>
      <c r="BA74" s="118">
        <f t="shared" si="72"/>
        <v>0.2</v>
      </c>
      <c r="BB74" s="39">
        <f t="shared" si="48"/>
        <v>1.3540558150698609E-2</v>
      </c>
      <c r="BC74" s="39">
        <f t="shared" si="73"/>
        <v>0.11204149358950287</v>
      </c>
      <c r="BD74" s="39">
        <f t="shared" si="74"/>
        <v>0.19328484249369454</v>
      </c>
      <c r="BE74" s="39">
        <f t="shared" si="75"/>
        <v>0.69784127274858165</v>
      </c>
      <c r="BF74" s="39">
        <f t="shared" si="76"/>
        <v>0.45612611524227625</v>
      </c>
      <c r="BG74" s="39">
        <f t="shared" si="49"/>
        <v>0.45612611524227625</v>
      </c>
      <c r="BH74" s="39">
        <f t="shared" si="50"/>
        <v>1.7605096035230215E-2</v>
      </c>
      <c r="BI74" s="39">
        <f t="shared" si="84"/>
        <v>0.38010509603523024</v>
      </c>
      <c r="BK74" s="129" t="str">
        <f t="shared" si="52"/>
        <v>0</v>
      </c>
      <c r="BL74" s="120" t="str">
        <f t="shared" si="53"/>
        <v>0</v>
      </c>
      <c r="BM74" s="120" t="str">
        <f t="shared" si="54"/>
        <v>No válido</v>
      </c>
      <c r="BN74" s="36"/>
      <c r="BO74" s="129" t="str">
        <f t="shared" si="77"/>
        <v>1</v>
      </c>
      <c r="BP74" s="120" t="str">
        <f t="shared" si="85"/>
        <v>0</v>
      </c>
      <c r="BQ74" s="120" t="str">
        <f t="shared" si="78"/>
        <v>0</v>
      </c>
      <c r="BR74" s="120" t="str">
        <f t="shared" si="79"/>
        <v>No válido</v>
      </c>
      <c r="BT74" s="129" t="str">
        <f t="shared" si="56"/>
        <v>0</v>
      </c>
      <c r="BU74" s="120" t="str">
        <f t="shared" si="57"/>
        <v>1</v>
      </c>
      <c r="BV74" s="120" t="str">
        <f t="shared" si="58"/>
        <v>No válido</v>
      </c>
      <c r="BX74" s="129" t="str">
        <f t="shared" si="59"/>
        <v>1</v>
      </c>
      <c r="BY74" s="129" t="str">
        <f t="shared" si="80"/>
        <v>0</v>
      </c>
      <c r="BZ74" s="27" t="str">
        <f t="shared" si="81"/>
        <v>1</v>
      </c>
      <c r="CA74" s="120" t="str">
        <f t="shared" si="60"/>
        <v>No válido</v>
      </c>
      <c r="CC74" s="129" t="str">
        <f t="shared" si="61"/>
        <v>1</v>
      </c>
      <c r="CD74" s="129" t="str">
        <f t="shared" si="82"/>
        <v>1</v>
      </c>
      <c r="CE74" s="129" t="str">
        <f t="shared" si="83"/>
        <v>0</v>
      </c>
      <c r="CF74" s="120" t="str">
        <f t="shared" si="62"/>
        <v>No válido</v>
      </c>
    </row>
    <row r="75" spans="1:84" x14ac:dyDescent="0.25">
      <c r="A75" s="95" t="s">
        <v>80</v>
      </c>
      <c r="D75" s="120">
        <v>65</v>
      </c>
      <c r="E75" s="24">
        <f>'Cálculos - Distintas Ecuaciones'!F80</f>
        <v>19360</v>
      </c>
      <c r="F75" s="39">
        <f>'Cálculos - Distintas Ecuaciones'!Z80+Cunetas!J179</f>
        <v>8.4443099345565056E-2</v>
      </c>
      <c r="G75" s="50" t="str">
        <f t="shared" si="21"/>
        <v>1</v>
      </c>
      <c r="H75" s="120">
        <f t="shared" si="22"/>
        <v>2.4E-2</v>
      </c>
      <c r="I75" s="20">
        <f t="shared" si="23"/>
        <v>0.02</v>
      </c>
      <c r="J75" s="45">
        <v>1.2</v>
      </c>
      <c r="K75" s="67" t="str">
        <f t="shared" si="24"/>
        <v>Circular</v>
      </c>
      <c r="L75" s="45"/>
      <c r="M75" s="45"/>
      <c r="N75" s="5">
        <v>0.15230244487772912</v>
      </c>
      <c r="O75" s="5">
        <f t="shared" si="25"/>
        <v>1.4570338748920899</v>
      </c>
      <c r="P75" s="5">
        <f t="shared" si="26"/>
        <v>0.79891651413033415</v>
      </c>
      <c r="Q75" s="5">
        <f t="shared" si="27"/>
        <v>8.3429612419097229E-2</v>
      </c>
      <c r="R75" s="5">
        <f t="shared" si="28"/>
        <v>0.87422032493525392</v>
      </c>
      <c r="S75" s="5">
        <f t="shared" si="29"/>
        <v>9.5433164889269936E-2</v>
      </c>
      <c r="T75" s="117">
        <f t="shared" si="30"/>
        <v>1.000000049424294</v>
      </c>
      <c r="U75" s="5">
        <f t="shared" si="31"/>
        <v>1.0121478081592505</v>
      </c>
      <c r="V75" s="39">
        <f t="shared" si="32"/>
        <v>1.3530419414503692E-2</v>
      </c>
      <c r="W75" s="46" t="str">
        <f t="shared" si="33"/>
        <v>Aceptable</v>
      </c>
      <c r="X75" s="5">
        <f t="shared" si="34"/>
        <v>7.2687431468756059E-4</v>
      </c>
      <c r="Y75" s="5">
        <f t="shared" si="35"/>
        <v>7.2687424283706629E-4</v>
      </c>
      <c r="Z75" s="5">
        <f t="shared" si="36"/>
        <v>7.1850494304248613E-11</v>
      </c>
      <c r="AB75" s="120"/>
      <c r="AC75" s="120" t="str">
        <f t="shared" si="37"/>
        <v/>
      </c>
      <c r="AD75" s="120" t="str">
        <f t="shared" si="38"/>
        <v/>
      </c>
      <c r="AE75" s="120" t="str">
        <f t="shared" si="39"/>
        <v/>
      </c>
      <c r="AF75" s="120" t="str">
        <f t="shared" si="40"/>
        <v/>
      </c>
      <c r="AG75" s="120" t="str">
        <f t="shared" si="41"/>
        <v/>
      </c>
      <c r="AH75" s="120" t="str">
        <f t="shared" si="42"/>
        <v/>
      </c>
      <c r="AI75" s="120" t="str">
        <f t="shared" si="43"/>
        <v/>
      </c>
      <c r="AJ75" s="46" t="str">
        <f t="shared" si="44"/>
        <v/>
      </c>
      <c r="AK75" s="120" t="str">
        <f t="shared" si="45"/>
        <v/>
      </c>
      <c r="AL75" s="120" t="str">
        <f t="shared" si="46"/>
        <v/>
      </c>
      <c r="AM75" s="120" t="str">
        <f t="shared" si="47"/>
        <v/>
      </c>
      <c r="AN75" s="211">
        <v>0</v>
      </c>
      <c r="AP75" s="39">
        <f t="shared" ref="AP75:AP106" si="86">IF(G75="1",0.167433,IF(G75="2",0.072493,""))</f>
        <v>0.167433</v>
      </c>
      <c r="AQ75" s="39">
        <f t="shared" ref="AQ75:AQ106" si="87">IF(G75="1",0.538595,IF(G75="2",0.507087,""))</f>
        <v>0.53859500000000005</v>
      </c>
      <c r="AR75" s="39">
        <f t="shared" ref="AR75:AR106" si="88">IF(G75="1",-0.14937,IF(G75="2",-0.11747,""))</f>
        <v>-0.14937</v>
      </c>
      <c r="AS75" s="39">
        <f t="shared" ref="AS75:AS106" si="89">IF(G75="1",0.039154,IF(G75="2",0.02217,""))</f>
        <v>3.9154000000000001E-2</v>
      </c>
      <c r="AT75" s="39">
        <f t="shared" ref="AT75:AT106" si="90">IF(G75="1",-0.00344,IF(G75="2",-0.00149,""))</f>
        <v>-3.4399999999999999E-3</v>
      </c>
      <c r="AU75" s="39">
        <f t="shared" ref="AU75:AU106" si="91">IF(G75="1",0.000116,IF(G75="2",0.000038,""))</f>
        <v>1.16E-4</v>
      </c>
      <c r="AV75" s="39">
        <f t="shared" ref="AV75:AV106" si="92">IF(G75="1",J75*(AP75+(AQ75*$AQ$5*(F75/(J75^(5/2))))+(AR75*($AQ$5*(F75/(J75^(5/2))))^2)+(AS75*($AQ$5*(F75/(J75^(5/2))))^3)+(AT75*($AQ$5*(F75/(J75^(5/2))))^4)+(AU75*($AQ$5*(F75/(J75^(5/2))))^5)-(0.5*I75)),IF(G75="2",L75*(AP75+(AQ75*$AQ$5*(F75/(M75*L75^(3/2))))+(AR75*($AQ$5*(F75/(M75*L75^(3/2))))^2)+(AS75*($AQ$5*(F75/(M75*L75^(3/2))))^3)+(AT75*($AQ$5*(F75/(M75*L75^(3/2))))^4)+(AU75*($AQ$5*(F75/(M75*L75^(3/2))))^5)-(0.5*I75)),""))</f>
        <v>0.24994505424971958</v>
      </c>
      <c r="AX75" s="157">
        <v>11.2</v>
      </c>
      <c r="AY75" s="120">
        <f t="shared" ref="AY75:AY106" si="93">AX75*I75</f>
        <v>0.22399999999999998</v>
      </c>
      <c r="AZ75" s="39">
        <f t="shared" ref="AZ75:AZ106" si="94">IF(G75="1",(U75^2)/(2*9.81),IF(G75="2",(AH75^2)/(2*9.81),""))</f>
        <v>5.2214229641262738E-2</v>
      </c>
      <c r="BA75" s="118">
        <f t="shared" ref="BA75:BA106" si="95">IF(G75="1",0.2,IF(G75="2",0.5,""))</f>
        <v>0.2</v>
      </c>
      <c r="BB75" s="39">
        <f t="shared" si="48"/>
        <v>1.0442845928252549E-2</v>
      </c>
      <c r="BC75" s="39">
        <f t="shared" ref="BC75:BC106" si="96">IF(G75="1",AX75*((U75*H75)^2)/(S75^(4/3)),IF(G75="2",AX75*((AH75*H75)^2)/(AF75^(4/3)),""))</f>
        <v>0.15154069744244136</v>
      </c>
      <c r="BD75" s="39">
        <f t="shared" ref="BD75:BD106" si="97">AZ75+BB75+BC75</f>
        <v>0.21419777301195664</v>
      </c>
      <c r="BE75" s="39">
        <f t="shared" ref="BE75:BE106" si="98">IF(G75="1",((J75+N75)/2),((L75+AB75)/2))</f>
        <v>0.6761512224388645</v>
      </c>
      <c r="BF75" s="39">
        <f t="shared" ref="BF75:BF106" si="99">BD75+BE75-(AX75*I75)</f>
        <v>0.66634899545082116</v>
      </c>
      <c r="BG75" s="39">
        <f t="shared" si="49"/>
        <v>0.66634899545082116</v>
      </c>
      <c r="BH75" s="39">
        <f t="shared" si="50"/>
        <v>0.36862416287568434</v>
      </c>
      <c r="BI75" s="39">
        <f t="shared" si="84"/>
        <v>0.55529082954235098</v>
      </c>
      <c r="BK75" s="129" t="str">
        <f t="shared" si="52"/>
        <v>0</v>
      </c>
      <c r="BL75" s="120" t="str">
        <f t="shared" si="53"/>
        <v>0</v>
      </c>
      <c r="BM75" s="120" t="str">
        <f t="shared" si="54"/>
        <v>No válido</v>
      </c>
      <c r="BN75" s="36"/>
      <c r="BO75" s="129" t="str">
        <f t="shared" ref="BO75:BO106" si="100">IF(BH75&lt;1.5,"1","0")</f>
        <v>1</v>
      </c>
      <c r="BP75" s="120" t="str">
        <f t="shared" si="85"/>
        <v>0</v>
      </c>
      <c r="BQ75" s="120" t="str">
        <f t="shared" ref="BQ75:BQ106" si="101">IF(G75="1",IF(I75&lt;V75,"1","0"),IF(I75&lt;AI75,"1","0"))</f>
        <v>0</v>
      </c>
      <c r="BR75" s="120" t="str">
        <f t="shared" ref="BR75:BR106" si="102">IF((BO75+BP75+BQ75)=3,"Válido","No válido")</f>
        <v>No válido</v>
      </c>
      <c r="BT75" s="129" t="str">
        <f t="shared" si="56"/>
        <v>0</v>
      </c>
      <c r="BU75" s="120" t="str">
        <f t="shared" si="57"/>
        <v>1</v>
      </c>
      <c r="BV75" s="120" t="str">
        <f t="shared" si="58"/>
        <v>No válido</v>
      </c>
      <c r="BX75" s="129" t="str">
        <f t="shared" si="59"/>
        <v>1</v>
      </c>
      <c r="BY75" s="129" t="str">
        <f t="shared" ref="BY75:BY106" si="103">IF(G75="1",IF(BE75&lt;N75,"1","0"),IF(BE75&lt;AB75,"1","0"))</f>
        <v>0</v>
      </c>
      <c r="BZ75" s="27" t="str">
        <f t="shared" ref="BZ75:BZ106" si="104">IF(G75="1",IF(I75&gt;V75,"1","0"),IF(I75&gt;AI75,"1","0"))</f>
        <v>1</v>
      </c>
      <c r="CA75" s="120" t="str">
        <f t="shared" si="60"/>
        <v>No válido</v>
      </c>
      <c r="CC75" s="129" t="str">
        <f t="shared" si="61"/>
        <v>1</v>
      </c>
      <c r="CD75" s="129" t="str">
        <f t="shared" ref="CD75:CD106" si="105">IF(G75="1",IF(BE75&gt;N75,"1","0"),IF(BE75&gt;AB75,"1","0"))</f>
        <v>1</v>
      </c>
      <c r="CE75" s="129" t="str">
        <f t="shared" ref="CE75:CE106" si="106">IF(G75="1",IF(BE75&gt;J75,"1","0"),IF(BE75&gt;L75,"1","0"))</f>
        <v>0</v>
      </c>
      <c r="CF75" s="120" t="str">
        <f t="shared" si="62"/>
        <v>No válido</v>
      </c>
    </row>
    <row r="76" spans="1:84" x14ac:dyDescent="0.25">
      <c r="A76" s="150" t="s">
        <v>80</v>
      </c>
      <c r="D76" s="120">
        <v>66</v>
      </c>
      <c r="E76" s="24">
        <f>'Cálculos - Distintas Ecuaciones'!F81</f>
        <v>19602</v>
      </c>
      <c r="F76" s="39">
        <f>'Cálculos - Distintas Ecuaciones'!Z81+Cunetas!J180</f>
        <v>9.9059975295789332E-2</v>
      </c>
      <c r="G76" s="50" t="str">
        <f t="shared" ref="G76:G120" si="107">IF(K76="Circular","1",IF(K76="Cajón","2",""))</f>
        <v>1</v>
      </c>
      <c r="H76" s="120">
        <f t="shared" ref="H76:H120" si="108">IF(G76="1",0.024,IF(G76="2",0.014,""))</f>
        <v>2.4E-2</v>
      </c>
      <c r="I76" s="20">
        <f t="shared" ref="I76:I117" si="109">$O$5/100</f>
        <v>0.02</v>
      </c>
      <c r="J76" s="45">
        <v>1.2</v>
      </c>
      <c r="K76" s="67" t="str">
        <f t="shared" ref="K76:K120" si="110">IF(J76&lt;1.8,"Circular","Cajón")</f>
        <v>Circular</v>
      </c>
      <c r="L76" s="45"/>
      <c r="M76" s="45"/>
      <c r="N76" s="5">
        <v>0.1651391810752473</v>
      </c>
      <c r="O76" s="5">
        <f t="shared" ref="O76:O120" si="111">IF(G76="1",2*ACOS(1-((2*N76)/J76)),"")</f>
        <v>1.5201973393972479</v>
      </c>
      <c r="P76" s="5">
        <f t="shared" ref="P76:P120" si="112">IF(G76="1",J76*SIN(O76/2),"")</f>
        <v>0.8267915533291168</v>
      </c>
      <c r="Q76" s="5">
        <f t="shared" ref="Q76:Q120" si="113">IF(G76="1",((J76^2)/8)*(O76-SIN(O76)),"")</f>
        <v>9.3865895111120576E-2</v>
      </c>
      <c r="R76" s="5">
        <f t="shared" ref="R76:R120" si="114">IF(G76="1",0.5*J76*O76,"")</f>
        <v>0.91211840363834873</v>
      </c>
      <c r="S76" s="5">
        <f t="shared" ref="S76:S120" si="115">IF(G76="1",Q76/R76,"")</f>
        <v>0.10290976997799732</v>
      </c>
      <c r="T76" s="117">
        <f t="shared" ref="T76:T120" si="116">IF(G76="1",(F76/Q76)/(SQRT(9.81*(1/8)*J76*((O76-SIN(O76))/(SIN(O76/2))))),"")</f>
        <v>0.9999999729854715</v>
      </c>
      <c r="U76" s="5">
        <f t="shared" ref="U76:U120" si="117">IF(G76="1",F76/Q76,"")</f>
        <v>1.0553351158961397</v>
      </c>
      <c r="V76" s="39">
        <f t="shared" ref="V76:V120" si="118">IF(G76="1",((U76*H76)/((S76^(2/3))))^2,"")</f>
        <v>1.3302332084754226E-2</v>
      </c>
      <c r="W76" s="46" t="str">
        <f t="shared" ref="W76:W120" si="119">IF(G76="1",IF(U76&lt;4.5,"Aceptable","Corregir"),"")</f>
        <v>Aceptable</v>
      </c>
      <c r="X76" s="5">
        <f t="shared" ref="X76:X120" si="120">IF(G76="1",F76^2/9.81,"")</f>
        <v>1.0002934460349023E-3</v>
      </c>
      <c r="Y76" s="5">
        <f t="shared" ref="Y76:Y120" si="121">IF(G76="1",(J76^5/512)*((O76-SIN(O76))^3/(SIN(O76/2))),"")</f>
        <v>1.0002935000798163E-3</v>
      </c>
      <c r="Z76" s="5">
        <f t="shared" ref="Z76:Z120" si="122">IF(G76="1",X76-Y76,"")</f>
        <v>-5.4044913943424033E-11</v>
      </c>
      <c r="AB76" s="120"/>
      <c r="AC76" s="120" t="str">
        <f t="shared" ref="AC76:AC120" si="123">IF(G76="1","",IF(G76="2",M76,""))</f>
        <v/>
      </c>
      <c r="AD76" s="120" t="str">
        <f t="shared" ref="AD76:AD120" si="124">IF(G76="1","",IF(G76="2",M76*AB76,""))</f>
        <v/>
      </c>
      <c r="AE76" s="120" t="str">
        <f t="shared" ref="AE76:AE120" si="125">IF(G76="1","",IF(G76="2",M76+(2*AB76),""))</f>
        <v/>
      </c>
      <c r="AF76" s="120" t="str">
        <f t="shared" ref="AF76:AF120" si="126">IF(G76="1","",IF(G76="2",AD76/AE76,""))</f>
        <v/>
      </c>
      <c r="AG76" s="120" t="str">
        <f t="shared" ref="AG76:AG120" si="127">IF(G76="1","",IF(G76="2",(F76/AD76)/(SQRT(9.81*AB76)),""))</f>
        <v/>
      </c>
      <c r="AH76" s="120" t="str">
        <f t="shared" ref="AH76:AH120" si="128">IF(G76="1","",IF(G76="2",F76/AD76,""))</f>
        <v/>
      </c>
      <c r="AI76" s="120" t="str">
        <f t="shared" ref="AI76:AI120" si="129">IF(G76="1","",IF(G76="2",((AH76*H76)/((AF76^(2/3))))^2,""))</f>
        <v/>
      </c>
      <c r="AJ76" s="46" t="str">
        <f t="shared" ref="AJ76:AJ120" si="130">IF(G76="1","",IF(G76="2",IF(AH76&lt;5,"Aceptable","Corregir")))</f>
        <v/>
      </c>
      <c r="AK76" s="120" t="str">
        <f t="shared" ref="AK76:AK120" si="131">IF(G76="1","",IF(G76="2",AB76^3,""))</f>
        <v/>
      </c>
      <c r="AL76" s="120" t="str">
        <f t="shared" ref="AL76:AL120" si="132">IF(G76="1","",IF(G76="2",(F76^2)/(9.81*M76^2),""))</f>
        <v/>
      </c>
      <c r="AM76" s="120" t="str">
        <f t="shared" ref="AM76:AM120" si="133">IF(G76="1","",IF(G76="2",AK76-AL76,""))</f>
        <v/>
      </c>
      <c r="AN76" s="211">
        <v>0</v>
      </c>
      <c r="AP76" s="39">
        <f t="shared" si="86"/>
        <v>0.167433</v>
      </c>
      <c r="AQ76" s="39">
        <f t="shared" si="87"/>
        <v>0.53859500000000005</v>
      </c>
      <c r="AR76" s="39">
        <f t="shared" si="88"/>
        <v>-0.14937</v>
      </c>
      <c r="AS76" s="39">
        <f t="shared" si="89"/>
        <v>3.9154000000000001E-2</v>
      </c>
      <c r="AT76" s="39">
        <f t="shared" si="90"/>
        <v>-3.4399999999999999E-3</v>
      </c>
      <c r="AU76" s="39">
        <f t="shared" si="91"/>
        <v>1.16E-4</v>
      </c>
      <c r="AV76" s="39">
        <f t="shared" si="92"/>
        <v>0.26018483980120621</v>
      </c>
      <c r="AX76" s="157">
        <v>12.15</v>
      </c>
      <c r="AY76" s="120">
        <f t="shared" si="93"/>
        <v>0.24300000000000002</v>
      </c>
      <c r="AZ76" s="39">
        <f t="shared" si="94"/>
        <v>5.6765148157162007E-2</v>
      </c>
      <c r="BA76" s="118">
        <f t="shared" si="95"/>
        <v>0.2</v>
      </c>
      <c r="BB76" s="39">
        <f t="shared" ref="BB76:BB120" si="134">AZ76*BA76</f>
        <v>1.1353029631432402E-2</v>
      </c>
      <c r="BC76" s="39">
        <f t="shared" si="96"/>
        <v>0.16162333482976388</v>
      </c>
      <c r="BD76" s="39">
        <f t="shared" si="97"/>
        <v>0.22974151261835829</v>
      </c>
      <c r="BE76" s="39">
        <f t="shared" si="98"/>
        <v>0.68256959053762367</v>
      </c>
      <c r="BF76" s="39">
        <f t="shared" si="99"/>
        <v>0.66931110315598197</v>
      </c>
      <c r="BG76" s="39">
        <f t="shared" ref="BG76:BG120" si="135">IF(AV76&gt;BF76,AV76,BF76)</f>
        <v>0.66931110315598197</v>
      </c>
      <c r="BH76" s="39">
        <f t="shared" ref="BH76:BH120" si="136">IF(G76="1",(BG76-AY76)/J76,IF(G76="2",(BG76-AY76)/L76,""))</f>
        <v>0.35525925262998498</v>
      </c>
      <c r="BI76" s="39">
        <f t="shared" ref="BI76:BI107" si="137">IF(G76="1",BF76/J76,IF(G76="2",BF76/L76))</f>
        <v>0.55775925262998505</v>
      </c>
      <c r="BK76" s="129" t="str">
        <f t="shared" ref="BK76:BK120" si="138">IF(BH76&gt;1,"1","0")</f>
        <v>0</v>
      </c>
      <c r="BL76" s="120" t="str">
        <f t="shared" ref="BL76:BL120" si="139">IF(BI76&gt;1,"1","0")</f>
        <v>0</v>
      </c>
      <c r="BM76" s="120" t="str">
        <f t="shared" ref="BM76:BM120" si="140">IF((BK76+BL76)=2,"Válido","No válido")</f>
        <v>No válido</v>
      </c>
      <c r="BN76" s="36"/>
      <c r="BO76" s="129" t="str">
        <f t="shared" si="100"/>
        <v>1</v>
      </c>
      <c r="BP76" s="120" t="str">
        <f t="shared" ref="BP76:BP107" si="141">IF(G76="1",IF(BF76&lt;N76,"1","0"),IF(BF76&lt;AB76,"1","0"))</f>
        <v>0</v>
      </c>
      <c r="BQ76" s="120" t="str">
        <f t="shared" si="101"/>
        <v>0</v>
      </c>
      <c r="BR76" s="120" t="str">
        <f t="shared" si="102"/>
        <v>No válido</v>
      </c>
      <c r="BT76" s="129" t="str">
        <f t="shared" ref="BT76:BT120" si="142">IF(BH76&gt;=1.5,"1","0")</f>
        <v>0</v>
      </c>
      <c r="BU76" s="120" t="str">
        <f t="shared" ref="BU76:BU120" si="143">IF(BI76&lt;=1,"1","0")</f>
        <v>1</v>
      </c>
      <c r="BV76" s="120" t="str">
        <f t="shared" ref="BV76:BV120" si="144">IF((BT76+BU76)=2,"Válido","No válido")</f>
        <v>No válido</v>
      </c>
      <c r="BX76" s="129" t="str">
        <f t="shared" ref="BX76:BX120" si="145">IF(BH76&lt;1.5,"1","0")</f>
        <v>1</v>
      </c>
      <c r="BY76" s="129" t="str">
        <f t="shared" si="103"/>
        <v>0</v>
      </c>
      <c r="BZ76" s="27" t="str">
        <f t="shared" si="104"/>
        <v>1</v>
      </c>
      <c r="CA76" s="120" t="str">
        <f t="shared" ref="CA76:CA120" si="146">IF((BX76+BY76+BZ76)=3,"Válido","No válido")</f>
        <v>No válido</v>
      </c>
      <c r="CC76" s="129" t="str">
        <f t="shared" ref="CC76:CC120" si="147">IF(BH76&lt;1.5,"1","0")</f>
        <v>1</v>
      </c>
      <c r="CD76" s="129" t="str">
        <f t="shared" si="105"/>
        <v>1</v>
      </c>
      <c r="CE76" s="129" t="str">
        <f t="shared" si="106"/>
        <v>0</v>
      </c>
      <c r="CF76" s="120" t="str">
        <f t="shared" ref="CF76:CF120" si="148">IF((CC76+CD76+CE76)=3,"Válido","No válido")</f>
        <v>No válido</v>
      </c>
    </row>
    <row r="77" spans="1:84" x14ac:dyDescent="0.25">
      <c r="A77" s="150" t="s">
        <v>162</v>
      </c>
      <c r="D77" s="120">
        <v>67</v>
      </c>
      <c r="E77" s="24">
        <f>'Cálculos - Distintas Ecuaciones'!F82</f>
        <v>19771.3</v>
      </c>
      <c r="F77" s="39">
        <f>'Cálculos - Distintas Ecuaciones'!Z82+Cunetas!J181</f>
        <v>1.1736420531402096</v>
      </c>
      <c r="G77" s="50" t="str">
        <f t="shared" si="107"/>
        <v>1</v>
      </c>
      <c r="H77" s="120">
        <f t="shared" si="108"/>
        <v>2.4E-2</v>
      </c>
      <c r="I77" s="20">
        <f t="shared" si="109"/>
        <v>0.02</v>
      </c>
      <c r="J77" s="45">
        <v>1.2</v>
      </c>
      <c r="K77" s="67" t="str">
        <f t="shared" si="110"/>
        <v>Circular</v>
      </c>
      <c r="L77" s="45"/>
      <c r="M77" s="45"/>
      <c r="N77" s="5">
        <v>0.58900536718759899</v>
      </c>
      <c r="O77" s="5">
        <f t="shared" si="111"/>
        <v>3.1049418262312889</v>
      </c>
      <c r="P77" s="5">
        <f t="shared" si="112"/>
        <v>1.1997985131668074</v>
      </c>
      <c r="Q77" s="5">
        <f t="shared" si="113"/>
        <v>0.55229385667106512</v>
      </c>
      <c r="R77" s="5">
        <f t="shared" si="114"/>
        <v>1.8629650957387733</v>
      </c>
      <c r="S77" s="5">
        <f t="shared" si="115"/>
        <v>0.29645958366817854</v>
      </c>
      <c r="T77" s="117">
        <f t="shared" si="116"/>
        <v>0.99999999948380469</v>
      </c>
      <c r="U77" s="5">
        <f t="shared" si="117"/>
        <v>2.125031881061112</v>
      </c>
      <c r="V77" s="39">
        <f t="shared" si="118"/>
        <v>1.3158288096740361E-2</v>
      </c>
      <c r="W77" s="46" t="str">
        <f t="shared" si="119"/>
        <v>Aceptable</v>
      </c>
      <c r="X77" s="5">
        <f t="shared" si="120"/>
        <v>0.14041138317014951</v>
      </c>
      <c r="Y77" s="5">
        <f t="shared" si="121"/>
        <v>0.14041138331510894</v>
      </c>
      <c r="Z77" s="5">
        <f t="shared" si="122"/>
        <v>-1.4495943334580375E-10</v>
      </c>
      <c r="AB77" s="120"/>
      <c r="AC77" s="120" t="str">
        <f t="shared" si="123"/>
        <v/>
      </c>
      <c r="AD77" s="120" t="str">
        <f t="shared" si="124"/>
        <v/>
      </c>
      <c r="AE77" s="120" t="str">
        <f t="shared" si="125"/>
        <v/>
      </c>
      <c r="AF77" s="120" t="str">
        <f t="shared" si="126"/>
        <v/>
      </c>
      <c r="AG77" s="120" t="str">
        <f t="shared" si="127"/>
        <v/>
      </c>
      <c r="AH77" s="120" t="str">
        <f t="shared" si="128"/>
        <v/>
      </c>
      <c r="AI77" s="120" t="str">
        <f t="shared" si="129"/>
        <v/>
      </c>
      <c r="AJ77" s="46" t="str">
        <f t="shared" si="130"/>
        <v/>
      </c>
      <c r="AK77" s="120" t="str">
        <f t="shared" si="131"/>
        <v/>
      </c>
      <c r="AL77" s="120" t="str">
        <f t="shared" si="132"/>
        <v/>
      </c>
      <c r="AM77" s="120" t="str">
        <f t="shared" si="133"/>
        <v/>
      </c>
      <c r="AN77" s="211">
        <v>6</v>
      </c>
      <c r="AP77" s="39">
        <f t="shared" si="86"/>
        <v>0.167433</v>
      </c>
      <c r="AQ77" s="39">
        <f t="shared" si="87"/>
        <v>0.53859500000000005</v>
      </c>
      <c r="AR77" s="39">
        <f t="shared" si="88"/>
        <v>-0.14937</v>
      </c>
      <c r="AS77" s="39">
        <f t="shared" si="89"/>
        <v>3.9154000000000001E-2</v>
      </c>
      <c r="AT77" s="39">
        <f t="shared" si="90"/>
        <v>-3.4399999999999999E-3</v>
      </c>
      <c r="AU77" s="39">
        <f t="shared" si="91"/>
        <v>1.16E-4</v>
      </c>
      <c r="AV77" s="39">
        <f t="shared" si="92"/>
        <v>0.83638675649380267</v>
      </c>
      <c r="AX77" s="157">
        <v>11.25</v>
      </c>
      <c r="AY77" s="120">
        <f t="shared" si="93"/>
        <v>0.22500000000000001</v>
      </c>
      <c r="AZ77" s="39">
        <f t="shared" si="94"/>
        <v>0.23016108539888519</v>
      </c>
      <c r="BA77" s="118">
        <f t="shared" si="95"/>
        <v>0.2</v>
      </c>
      <c r="BB77" s="39">
        <f t="shared" si="134"/>
        <v>4.6032217079777039E-2</v>
      </c>
      <c r="BC77" s="39">
        <f t="shared" si="96"/>
        <v>0.14803074108832906</v>
      </c>
      <c r="BD77" s="39">
        <f t="shared" si="97"/>
        <v>0.42422404356699128</v>
      </c>
      <c r="BE77" s="39">
        <f t="shared" si="98"/>
        <v>0.89450268359379947</v>
      </c>
      <c r="BF77" s="39">
        <f t="shared" si="99"/>
        <v>1.0937267271607907</v>
      </c>
      <c r="BG77" s="39">
        <f t="shared" si="135"/>
        <v>1.0937267271607907</v>
      </c>
      <c r="BH77" s="39">
        <f t="shared" si="136"/>
        <v>0.72393893930065889</v>
      </c>
      <c r="BI77" s="39">
        <f t="shared" si="137"/>
        <v>0.91143893930065889</v>
      </c>
      <c r="BK77" s="129" t="str">
        <f t="shared" si="138"/>
        <v>0</v>
      </c>
      <c r="BL77" s="120" t="str">
        <f t="shared" si="139"/>
        <v>0</v>
      </c>
      <c r="BM77" s="120" t="str">
        <f t="shared" si="140"/>
        <v>No válido</v>
      </c>
      <c r="BN77" s="36"/>
      <c r="BO77" s="129" t="str">
        <f t="shared" si="100"/>
        <v>1</v>
      </c>
      <c r="BP77" s="120" t="str">
        <f t="shared" si="141"/>
        <v>0</v>
      </c>
      <c r="BQ77" s="120" t="str">
        <f t="shared" si="101"/>
        <v>0</v>
      </c>
      <c r="BR77" s="120" t="str">
        <f t="shared" si="102"/>
        <v>No válido</v>
      </c>
      <c r="BT77" s="129" t="str">
        <f t="shared" si="142"/>
        <v>0</v>
      </c>
      <c r="BU77" s="120" t="str">
        <f t="shared" si="143"/>
        <v>1</v>
      </c>
      <c r="BV77" s="120" t="str">
        <f t="shared" si="144"/>
        <v>No válido</v>
      </c>
      <c r="BX77" s="129" t="str">
        <f t="shared" si="145"/>
        <v>1</v>
      </c>
      <c r="BY77" s="129" t="str">
        <f t="shared" si="103"/>
        <v>0</v>
      </c>
      <c r="BZ77" s="27" t="str">
        <f t="shared" si="104"/>
        <v>1</v>
      </c>
      <c r="CA77" s="120" t="str">
        <f t="shared" si="146"/>
        <v>No válido</v>
      </c>
      <c r="CC77" s="129" t="str">
        <f t="shared" si="147"/>
        <v>1</v>
      </c>
      <c r="CD77" s="129" t="str">
        <f t="shared" si="105"/>
        <v>1</v>
      </c>
      <c r="CE77" s="129" t="str">
        <f t="shared" si="106"/>
        <v>0</v>
      </c>
      <c r="CF77" s="120" t="str">
        <f t="shared" si="148"/>
        <v>No válido</v>
      </c>
    </row>
    <row r="78" spans="1:84" x14ac:dyDescent="0.25">
      <c r="A78" s="150" t="s">
        <v>162</v>
      </c>
      <c r="D78" s="120">
        <v>68</v>
      </c>
      <c r="E78" s="24">
        <f>'Cálculos - Distintas Ecuaciones'!F83</f>
        <v>20154.400000000001</v>
      </c>
      <c r="F78" s="39">
        <f>'Cálculos - Distintas Ecuaciones'!Z83+Cunetas!J182+Cunetas!J183</f>
        <v>0.20951861242502379</v>
      </c>
      <c r="G78" s="50" t="str">
        <f t="shared" si="107"/>
        <v>1</v>
      </c>
      <c r="H78" s="120">
        <f t="shared" si="108"/>
        <v>2.4E-2</v>
      </c>
      <c r="I78" s="20">
        <v>0.05</v>
      </c>
      <c r="J78" s="45">
        <v>1.2</v>
      </c>
      <c r="K78" s="67" t="str">
        <f t="shared" si="110"/>
        <v>Circular</v>
      </c>
      <c r="L78" s="45"/>
      <c r="M78" s="45"/>
      <c r="N78" s="5">
        <v>0.24174965372281604</v>
      </c>
      <c r="O78" s="5">
        <f t="shared" si="111"/>
        <v>1.8618707379132047</v>
      </c>
      <c r="P78" s="5">
        <f t="shared" si="112"/>
        <v>0.96261454257096646</v>
      </c>
      <c r="Q78" s="5">
        <f t="shared" si="113"/>
        <v>0.16270823622062594</v>
      </c>
      <c r="R78" s="5">
        <f t="shared" si="114"/>
        <v>1.1171224427479227</v>
      </c>
      <c r="S78" s="5">
        <f t="shared" si="115"/>
        <v>0.14564942032709735</v>
      </c>
      <c r="T78" s="117">
        <f t="shared" si="116"/>
        <v>1.0000000203152091</v>
      </c>
      <c r="U78" s="5">
        <f t="shared" si="117"/>
        <v>1.2876951855155312</v>
      </c>
      <c r="V78" s="39">
        <f t="shared" si="118"/>
        <v>1.2463411856426642E-2</v>
      </c>
      <c r="W78" s="46" t="str">
        <f t="shared" si="119"/>
        <v>Aceptable</v>
      </c>
      <c r="X78" s="5">
        <f t="shared" si="120"/>
        <v>4.4748266006633362E-3</v>
      </c>
      <c r="Y78" s="5">
        <f t="shared" si="121"/>
        <v>4.4748264188492664E-3</v>
      </c>
      <c r="Z78" s="5">
        <f t="shared" si="122"/>
        <v>1.8181406987588522E-10</v>
      </c>
      <c r="AB78" s="120"/>
      <c r="AC78" s="120" t="str">
        <f t="shared" si="123"/>
        <v/>
      </c>
      <c r="AD78" s="120" t="str">
        <f t="shared" si="124"/>
        <v/>
      </c>
      <c r="AE78" s="120" t="str">
        <f t="shared" si="125"/>
        <v/>
      </c>
      <c r="AF78" s="120" t="str">
        <f t="shared" si="126"/>
        <v/>
      </c>
      <c r="AG78" s="120" t="str">
        <f t="shared" si="127"/>
        <v/>
      </c>
      <c r="AH78" s="120" t="str">
        <f t="shared" si="128"/>
        <v/>
      </c>
      <c r="AI78" s="120" t="str">
        <f t="shared" si="129"/>
        <v/>
      </c>
      <c r="AJ78" s="46" t="str">
        <f t="shared" si="130"/>
        <v/>
      </c>
      <c r="AK78" s="120" t="str">
        <f t="shared" si="131"/>
        <v/>
      </c>
      <c r="AL78" s="120" t="str">
        <f t="shared" si="132"/>
        <v/>
      </c>
      <c r="AM78" s="120" t="str">
        <f t="shared" si="133"/>
        <v/>
      </c>
      <c r="AN78" s="211">
        <v>4</v>
      </c>
      <c r="AP78" s="39">
        <f t="shared" si="86"/>
        <v>0.167433</v>
      </c>
      <c r="AQ78" s="39">
        <f t="shared" si="87"/>
        <v>0.53859500000000005</v>
      </c>
      <c r="AR78" s="39">
        <f t="shared" si="88"/>
        <v>-0.14937</v>
      </c>
      <c r="AS78" s="39">
        <f t="shared" si="89"/>
        <v>3.9154000000000001E-2</v>
      </c>
      <c r="AT78" s="39">
        <f t="shared" si="90"/>
        <v>-3.4399999999999999E-3</v>
      </c>
      <c r="AU78" s="39">
        <f t="shared" si="91"/>
        <v>1.16E-4</v>
      </c>
      <c r="AV78" s="39">
        <f t="shared" si="92"/>
        <v>0.31667671193542585</v>
      </c>
      <c r="AX78" s="157">
        <v>9.5500000000000007</v>
      </c>
      <c r="AY78" s="120">
        <f t="shared" si="93"/>
        <v>0.47750000000000004</v>
      </c>
      <c r="AZ78" s="39">
        <f t="shared" si="94"/>
        <v>8.4513704933734876E-2</v>
      </c>
      <c r="BA78" s="118">
        <f t="shared" si="95"/>
        <v>0.2</v>
      </c>
      <c r="BB78" s="39">
        <f t="shared" si="134"/>
        <v>1.6902740986746975E-2</v>
      </c>
      <c r="BC78" s="39">
        <f t="shared" si="96"/>
        <v>0.11902558322887445</v>
      </c>
      <c r="BD78" s="39">
        <f t="shared" si="97"/>
        <v>0.22044202914935629</v>
      </c>
      <c r="BE78" s="39">
        <f t="shared" si="98"/>
        <v>0.72087482686140802</v>
      </c>
      <c r="BF78" s="39">
        <f t="shared" si="99"/>
        <v>0.46381685601076428</v>
      </c>
      <c r="BG78" s="39">
        <f t="shared" si="135"/>
        <v>0.46381685601076428</v>
      </c>
      <c r="BH78" s="39">
        <f t="shared" si="136"/>
        <v>-1.1402619991029799E-2</v>
      </c>
      <c r="BI78" s="39">
        <f t="shared" si="137"/>
        <v>0.38651404667563694</v>
      </c>
      <c r="BK78" s="129" t="str">
        <f t="shared" si="138"/>
        <v>0</v>
      </c>
      <c r="BL78" s="120" t="str">
        <f t="shared" si="139"/>
        <v>0</v>
      </c>
      <c r="BM78" s="120" t="str">
        <f t="shared" si="140"/>
        <v>No válido</v>
      </c>
      <c r="BN78" s="36"/>
      <c r="BO78" s="129" t="str">
        <f t="shared" si="100"/>
        <v>1</v>
      </c>
      <c r="BP78" s="120" t="str">
        <f t="shared" si="141"/>
        <v>0</v>
      </c>
      <c r="BQ78" s="120" t="str">
        <f t="shared" si="101"/>
        <v>0</v>
      </c>
      <c r="BR78" s="120" t="str">
        <f t="shared" si="102"/>
        <v>No válido</v>
      </c>
      <c r="BT78" s="129" t="str">
        <f t="shared" si="142"/>
        <v>0</v>
      </c>
      <c r="BU78" s="120" t="str">
        <f t="shared" si="143"/>
        <v>1</v>
      </c>
      <c r="BV78" s="120" t="str">
        <f t="shared" si="144"/>
        <v>No válido</v>
      </c>
      <c r="BX78" s="129" t="str">
        <f t="shared" si="145"/>
        <v>1</v>
      </c>
      <c r="BY78" s="129" t="str">
        <f t="shared" si="103"/>
        <v>0</v>
      </c>
      <c r="BZ78" s="27" t="str">
        <f t="shared" si="104"/>
        <v>1</v>
      </c>
      <c r="CA78" s="120" t="str">
        <f t="shared" si="146"/>
        <v>No válido</v>
      </c>
      <c r="CC78" s="129" t="str">
        <f t="shared" si="147"/>
        <v>1</v>
      </c>
      <c r="CD78" s="129" t="str">
        <f t="shared" si="105"/>
        <v>1</v>
      </c>
      <c r="CE78" s="129" t="str">
        <f t="shared" si="106"/>
        <v>0</v>
      </c>
      <c r="CF78" s="120" t="str">
        <f t="shared" si="148"/>
        <v>No válido</v>
      </c>
    </row>
    <row r="79" spans="1:84" x14ac:dyDescent="0.25">
      <c r="A79" s="150" t="s">
        <v>162</v>
      </c>
      <c r="B79" t="s">
        <v>305</v>
      </c>
      <c r="D79" s="120">
        <v>69</v>
      </c>
      <c r="E79" s="24">
        <f>'Cálculos - Distintas Ecuaciones'!F84</f>
        <v>20276.099999999999</v>
      </c>
      <c r="F79" s="39">
        <f>'Cálculos - Distintas Ecuaciones'!Z84+Cunetas!J184</f>
        <v>0.36104363045900117</v>
      </c>
      <c r="G79" s="50" t="str">
        <f t="shared" si="107"/>
        <v>1</v>
      </c>
      <c r="H79" s="120">
        <f t="shared" si="108"/>
        <v>2.4E-2</v>
      </c>
      <c r="I79" s="20">
        <v>0.05</v>
      </c>
      <c r="J79" s="45">
        <v>1.2</v>
      </c>
      <c r="K79" s="67" t="str">
        <f t="shared" si="110"/>
        <v>Circular</v>
      </c>
      <c r="L79" s="45"/>
      <c r="M79" s="45"/>
      <c r="N79" s="5">
        <v>0.3194756965177738</v>
      </c>
      <c r="O79" s="5">
        <f t="shared" si="111"/>
        <v>2.1685798502295506</v>
      </c>
      <c r="P79" s="5">
        <f t="shared" si="112"/>
        <v>1.0607659782549812</v>
      </c>
      <c r="Q79" s="5">
        <f t="shared" si="113"/>
        <v>0.24155905443750861</v>
      </c>
      <c r="R79" s="5">
        <f t="shared" si="114"/>
        <v>1.3011479101377303</v>
      </c>
      <c r="S79" s="5">
        <f t="shared" si="115"/>
        <v>0.18565072622061765</v>
      </c>
      <c r="T79" s="117">
        <f t="shared" si="116"/>
        <v>0.99999998525887768</v>
      </c>
      <c r="U79" s="5">
        <f t="shared" si="117"/>
        <v>1.4946391941288346</v>
      </c>
      <c r="V79" s="39">
        <f t="shared" si="118"/>
        <v>1.2149722165597041E-2</v>
      </c>
      <c r="W79" s="46" t="str">
        <f t="shared" si="119"/>
        <v>Aceptable</v>
      </c>
      <c r="X79" s="5">
        <f t="shared" si="120"/>
        <v>1.3287716931194271E-2</v>
      </c>
      <c r="Y79" s="5">
        <f t="shared" si="121"/>
        <v>1.3287717322946003E-2</v>
      </c>
      <c r="Z79" s="5">
        <f t="shared" si="122"/>
        <v>-3.9175173174865741E-10</v>
      </c>
      <c r="AB79" s="120"/>
      <c r="AC79" s="120" t="str">
        <f t="shared" si="123"/>
        <v/>
      </c>
      <c r="AD79" s="120" t="str">
        <f t="shared" si="124"/>
        <v/>
      </c>
      <c r="AE79" s="120" t="str">
        <f t="shared" si="125"/>
        <v/>
      </c>
      <c r="AF79" s="120" t="str">
        <f t="shared" si="126"/>
        <v/>
      </c>
      <c r="AG79" s="120" t="str">
        <f t="shared" si="127"/>
        <v/>
      </c>
      <c r="AH79" s="120" t="str">
        <f t="shared" si="128"/>
        <v/>
      </c>
      <c r="AI79" s="120" t="str">
        <f t="shared" si="129"/>
        <v/>
      </c>
      <c r="AJ79" s="46" t="str">
        <f t="shared" si="130"/>
        <v/>
      </c>
      <c r="AK79" s="120" t="str">
        <f t="shared" si="131"/>
        <v/>
      </c>
      <c r="AL79" s="120" t="str">
        <f t="shared" si="132"/>
        <v/>
      </c>
      <c r="AM79" s="120" t="str">
        <f t="shared" si="133"/>
        <v/>
      </c>
      <c r="AN79" s="211">
        <v>0</v>
      </c>
      <c r="AP79" s="39">
        <f t="shared" si="86"/>
        <v>0.167433</v>
      </c>
      <c r="AQ79" s="39">
        <f t="shared" si="87"/>
        <v>0.53859500000000005</v>
      </c>
      <c r="AR79" s="39">
        <f t="shared" si="88"/>
        <v>-0.14937</v>
      </c>
      <c r="AS79" s="39">
        <f t="shared" si="89"/>
        <v>3.9154000000000001E-2</v>
      </c>
      <c r="AT79" s="39">
        <f t="shared" si="90"/>
        <v>-3.4399999999999999E-3</v>
      </c>
      <c r="AU79" s="39">
        <f t="shared" si="91"/>
        <v>1.16E-4</v>
      </c>
      <c r="AV79" s="39">
        <f t="shared" si="92"/>
        <v>0.41128374563894399</v>
      </c>
      <c r="AX79" s="157">
        <v>11.75</v>
      </c>
      <c r="AY79" s="120">
        <f t="shared" si="93"/>
        <v>0.58750000000000002</v>
      </c>
      <c r="AZ79" s="39">
        <f t="shared" si="94"/>
        <v>0.11386066873731357</v>
      </c>
      <c r="BA79" s="118">
        <f t="shared" si="95"/>
        <v>0.2</v>
      </c>
      <c r="BB79" s="39">
        <f t="shared" si="134"/>
        <v>2.2772133747462717E-2</v>
      </c>
      <c r="BC79" s="39">
        <f t="shared" si="96"/>
        <v>0.14275923544576521</v>
      </c>
      <c r="BD79" s="39">
        <f t="shared" si="97"/>
        <v>0.27939203793054146</v>
      </c>
      <c r="BE79" s="39">
        <f t="shared" si="98"/>
        <v>0.75973784825888691</v>
      </c>
      <c r="BF79" s="39">
        <f t="shared" si="99"/>
        <v>0.45162988618942845</v>
      </c>
      <c r="BG79" s="39">
        <f t="shared" si="135"/>
        <v>0.45162988618942845</v>
      </c>
      <c r="BH79" s="39">
        <f t="shared" si="136"/>
        <v>-0.11322509484214298</v>
      </c>
      <c r="BI79" s="39">
        <f t="shared" si="137"/>
        <v>0.37635823849119038</v>
      </c>
      <c r="BK79" s="129" t="str">
        <f t="shared" si="138"/>
        <v>0</v>
      </c>
      <c r="BL79" s="120" t="str">
        <f t="shared" si="139"/>
        <v>0</v>
      </c>
      <c r="BM79" s="120" t="str">
        <f t="shared" si="140"/>
        <v>No válido</v>
      </c>
      <c r="BN79" s="36"/>
      <c r="BO79" s="129" t="str">
        <f t="shared" si="100"/>
        <v>1</v>
      </c>
      <c r="BP79" s="120" t="str">
        <f t="shared" si="141"/>
        <v>0</v>
      </c>
      <c r="BQ79" s="120" t="str">
        <f t="shared" si="101"/>
        <v>0</v>
      </c>
      <c r="BR79" s="120" t="str">
        <f t="shared" si="102"/>
        <v>No válido</v>
      </c>
      <c r="BT79" s="129" t="str">
        <f t="shared" si="142"/>
        <v>0</v>
      </c>
      <c r="BU79" s="120" t="str">
        <f t="shared" si="143"/>
        <v>1</v>
      </c>
      <c r="BV79" s="120" t="str">
        <f t="shared" si="144"/>
        <v>No válido</v>
      </c>
      <c r="BX79" s="129" t="str">
        <f t="shared" si="145"/>
        <v>1</v>
      </c>
      <c r="BY79" s="129" t="str">
        <f t="shared" si="103"/>
        <v>0</v>
      </c>
      <c r="BZ79" s="27" t="str">
        <f t="shared" si="104"/>
        <v>1</v>
      </c>
      <c r="CA79" s="120" t="str">
        <f t="shared" si="146"/>
        <v>No válido</v>
      </c>
      <c r="CC79" s="129" t="str">
        <f t="shared" si="147"/>
        <v>1</v>
      </c>
      <c r="CD79" s="129" t="str">
        <f t="shared" si="105"/>
        <v>1</v>
      </c>
      <c r="CE79" s="129" t="str">
        <f t="shared" si="106"/>
        <v>0</v>
      </c>
      <c r="CF79" s="120" t="str">
        <f t="shared" si="148"/>
        <v>No válido</v>
      </c>
    </row>
    <row r="80" spans="1:84" x14ac:dyDescent="0.25">
      <c r="A80" s="150" t="s">
        <v>80</v>
      </c>
      <c r="B80" t="s">
        <v>305</v>
      </c>
      <c r="D80" s="120">
        <v>70</v>
      </c>
      <c r="E80" s="24">
        <f>'Cálculos - Distintas Ecuaciones'!F85</f>
        <v>20316.7</v>
      </c>
      <c r="F80" s="39">
        <f>'Cálculos - Distintas Ecuaciones'!Z85+Cunetas!J185</f>
        <v>0.47733926077601774</v>
      </c>
      <c r="G80" s="50" t="str">
        <f t="shared" si="107"/>
        <v>1</v>
      </c>
      <c r="H80" s="120">
        <f t="shared" si="108"/>
        <v>2.4E-2</v>
      </c>
      <c r="I80" s="20">
        <f t="shared" si="109"/>
        <v>0.02</v>
      </c>
      <c r="J80" s="45">
        <v>1.2</v>
      </c>
      <c r="K80" s="67" t="str">
        <f t="shared" si="110"/>
        <v>Circular</v>
      </c>
      <c r="L80" s="45"/>
      <c r="M80" s="45"/>
      <c r="N80" s="5">
        <v>0.36890305894142367</v>
      </c>
      <c r="O80" s="5">
        <f t="shared" si="111"/>
        <v>2.3508268699398447</v>
      </c>
      <c r="P80" s="5">
        <f t="shared" si="112"/>
        <v>1.107418988158265</v>
      </c>
      <c r="Q80" s="5">
        <f t="shared" si="113"/>
        <v>0.29518826627239264</v>
      </c>
      <c r="R80" s="5">
        <f t="shared" si="114"/>
        <v>1.4104961219639067</v>
      </c>
      <c r="S80" s="5">
        <f t="shared" si="115"/>
        <v>0.20927974325897949</v>
      </c>
      <c r="T80" s="117">
        <f t="shared" si="116"/>
        <v>0.9999999999357293</v>
      </c>
      <c r="U80" s="5">
        <f t="shared" si="117"/>
        <v>1.6170671917410855</v>
      </c>
      <c r="V80" s="39">
        <f t="shared" si="118"/>
        <v>1.2122039368011581E-2</v>
      </c>
      <c r="W80" s="46" t="str">
        <f t="shared" si="119"/>
        <v>Aceptable</v>
      </c>
      <c r="X80" s="5">
        <f t="shared" si="120"/>
        <v>2.3226582046706936E-2</v>
      </c>
      <c r="Y80" s="5">
        <f t="shared" si="121"/>
        <v>2.3226582049692513E-2</v>
      </c>
      <c r="Z80" s="5">
        <f t="shared" si="122"/>
        <v>-2.9855770633524514E-12</v>
      </c>
      <c r="AB80" s="120"/>
      <c r="AC80" s="120" t="str">
        <f t="shared" si="123"/>
        <v/>
      </c>
      <c r="AD80" s="120" t="str">
        <f t="shared" si="124"/>
        <v/>
      </c>
      <c r="AE80" s="120" t="str">
        <f t="shared" si="125"/>
        <v/>
      </c>
      <c r="AF80" s="120" t="str">
        <f t="shared" si="126"/>
        <v/>
      </c>
      <c r="AG80" s="120" t="str">
        <f t="shared" si="127"/>
        <v/>
      </c>
      <c r="AH80" s="120" t="str">
        <f t="shared" si="128"/>
        <v/>
      </c>
      <c r="AI80" s="120" t="str">
        <f t="shared" si="129"/>
        <v/>
      </c>
      <c r="AJ80" s="46" t="str">
        <f t="shared" si="130"/>
        <v/>
      </c>
      <c r="AK80" s="120" t="str">
        <f t="shared" si="131"/>
        <v/>
      </c>
      <c r="AL80" s="120" t="str">
        <f t="shared" si="132"/>
        <v/>
      </c>
      <c r="AM80" s="120" t="str">
        <f t="shared" si="133"/>
        <v/>
      </c>
      <c r="AN80" s="211">
        <v>25</v>
      </c>
      <c r="AP80" s="39">
        <f t="shared" si="86"/>
        <v>0.167433</v>
      </c>
      <c r="AQ80" s="39">
        <f t="shared" si="87"/>
        <v>0.53859500000000005</v>
      </c>
      <c r="AR80" s="39">
        <f t="shared" si="88"/>
        <v>-0.14937</v>
      </c>
      <c r="AS80" s="39">
        <f t="shared" si="89"/>
        <v>3.9154000000000001E-2</v>
      </c>
      <c r="AT80" s="39">
        <f t="shared" si="90"/>
        <v>-3.4399999999999999E-3</v>
      </c>
      <c r="AU80" s="39">
        <f t="shared" si="91"/>
        <v>1.16E-4</v>
      </c>
      <c r="AV80" s="39">
        <f t="shared" si="92"/>
        <v>0.49669184366313185</v>
      </c>
      <c r="AX80" s="157">
        <v>12.95</v>
      </c>
      <c r="AY80" s="120">
        <f t="shared" si="93"/>
        <v>0.25900000000000001</v>
      </c>
      <c r="AZ80" s="39">
        <f t="shared" si="94"/>
        <v>0.1332775893274924</v>
      </c>
      <c r="BA80" s="118">
        <f t="shared" si="95"/>
        <v>0.2</v>
      </c>
      <c r="BB80" s="39">
        <f t="shared" si="134"/>
        <v>2.6655517865498482E-2</v>
      </c>
      <c r="BC80" s="39">
        <f t="shared" si="96"/>
        <v>0.15698040981574996</v>
      </c>
      <c r="BD80" s="39">
        <f t="shared" si="97"/>
        <v>0.31691351700874082</v>
      </c>
      <c r="BE80" s="39">
        <f t="shared" si="98"/>
        <v>0.78445152947071184</v>
      </c>
      <c r="BF80" s="39">
        <f t="shared" si="99"/>
        <v>0.84236504647945265</v>
      </c>
      <c r="BG80" s="39">
        <f t="shared" si="135"/>
        <v>0.84236504647945265</v>
      </c>
      <c r="BH80" s="39">
        <f t="shared" si="136"/>
        <v>0.48613753873287724</v>
      </c>
      <c r="BI80" s="39">
        <f t="shared" si="137"/>
        <v>0.70197087206621056</v>
      </c>
      <c r="BK80" s="129" t="str">
        <f t="shared" si="138"/>
        <v>0</v>
      </c>
      <c r="BL80" s="120" t="str">
        <f t="shared" si="139"/>
        <v>0</v>
      </c>
      <c r="BM80" s="120" t="str">
        <f t="shared" si="140"/>
        <v>No válido</v>
      </c>
      <c r="BN80" s="36"/>
      <c r="BO80" s="129" t="str">
        <f t="shared" si="100"/>
        <v>1</v>
      </c>
      <c r="BP80" s="120" t="str">
        <f t="shared" si="141"/>
        <v>0</v>
      </c>
      <c r="BQ80" s="120" t="str">
        <f t="shared" si="101"/>
        <v>0</v>
      </c>
      <c r="BR80" s="120" t="str">
        <f t="shared" si="102"/>
        <v>No válido</v>
      </c>
      <c r="BT80" s="129" t="str">
        <f t="shared" si="142"/>
        <v>0</v>
      </c>
      <c r="BU80" s="120" t="str">
        <f t="shared" si="143"/>
        <v>1</v>
      </c>
      <c r="BV80" s="120" t="str">
        <f t="shared" si="144"/>
        <v>No válido</v>
      </c>
      <c r="BX80" s="129" t="str">
        <f t="shared" si="145"/>
        <v>1</v>
      </c>
      <c r="BY80" s="129" t="str">
        <f t="shared" si="103"/>
        <v>0</v>
      </c>
      <c r="BZ80" s="27" t="str">
        <f t="shared" si="104"/>
        <v>1</v>
      </c>
      <c r="CA80" s="120" t="str">
        <f t="shared" si="146"/>
        <v>No válido</v>
      </c>
      <c r="CC80" s="129" t="str">
        <f t="shared" si="147"/>
        <v>1</v>
      </c>
      <c r="CD80" s="129" t="str">
        <f t="shared" si="105"/>
        <v>1</v>
      </c>
      <c r="CE80" s="129" t="str">
        <f t="shared" si="106"/>
        <v>0</v>
      </c>
      <c r="CF80" s="120" t="str">
        <f t="shared" si="148"/>
        <v>No válido</v>
      </c>
    </row>
    <row r="81" spans="1:84" x14ac:dyDescent="0.25">
      <c r="A81" s="150" t="s">
        <v>80</v>
      </c>
      <c r="D81" s="120">
        <v>71</v>
      </c>
      <c r="E81" s="24">
        <f>'Cálculos - Distintas Ecuaciones'!F86</f>
        <v>20636.400000000001</v>
      </c>
      <c r="F81" s="39">
        <f>'Cálculos - Distintas Ecuaciones'!Z86+Cunetas!J186+Cunetas!J187</f>
        <v>0.27421173339218602</v>
      </c>
      <c r="G81" s="50" t="str">
        <f t="shared" si="107"/>
        <v>1</v>
      </c>
      <c r="H81" s="120">
        <f t="shared" si="108"/>
        <v>2.4E-2</v>
      </c>
      <c r="I81" s="20">
        <v>0.05</v>
      </c>
      <c r="J81" s="45">
        <v>1.2</v>
      </c>
      <c r="K81" s="67" t="str">
        <f t="shared" si="110"/>
        <v>Circular</v>
      </c>
      <c r="L81" s="45"/>
      <c r="M81" s="45"/>
      <c r="N81" s="5">
        <v>0.27741501360261783</v>
      </c>
      <c r="O81" s="5">
        <f t="shared" si="111"/>
        <v>2.0063174391205099</v>
      </c>
      <c r="P81" s="5">
        <f t="shared" si="112"/>
        <v>1.0118081370516856</v>
      </c>
      <c r="Q81" s="5">
        <f t="shared" si="113"/>
        <v>0.19794008197790239</v>
      </c>
      <c r="R81" s="5">
        <f t="shared" si="114"/>
        <v>1.2037904634723058</v>
      </c>
      <c r="S81" s="5">
        <f t="shared" si="115"/>
        <v>0.16443067791627855</v>
      </c>
      <c r="T81" s="117">
        <f t="shared" si="116"/>
        <v>0.99999998984292515</v>
      </c>
      <c r="U81" s="5">
        <f t="shared" si="117"/>
        <v>1.3853269668888912</v>
      </c>
      <c r="V81" s="39">
        <f t="shared" si="118"/>
        <v>1.2271093454792516E-2</v>
      </c>
      <c r="W81" s="46" t="str">
        <f t="shared" si="119"/>
        <v>Aceptable</v>
      </c>
      <c r="X81" s="5">
        <f t="shared" si="120"/>
        <v>7.6648394220129772E-3</v>
      </c>
      <c r="Y81" s="5">
        <f t="shared" si="121"/>
        <v>7.6648395777176746E-3</v>
      </c>
      <c r="Z81" s="5">
        <f t="shared" si="122"/>
        <v>-1.5570469739933923E-10</v>
      </c>
      <c r="AB81" s="120"/>
      <c r="AC81" s="120" t="str">
        <f t="shared" si="123"/>
        <v/>
      </c>
      <c r="AD81" s="120" t="str">
        <f t="shared" si="124"/>
        <v/>
      </c>
      <c r="AE81" s="120" t="str">
        <f t="shared" si="125"/>
        <v/>
      </c>
      <c r="AF81" s="120" t="str">
        <f t="shared" si="126"/>
        <v/>
      </c>
      <c r="AG81" s="120" t="str">
        <f t="shared" si="127"/>
        <v/>
      </c>
      <c r="AH81" s="120" t="str">
        <f t="shared" si="128"/>
        <v/>
      </c>
      <c r="AI81" s="120" t="str">
        <f t="shared" si="129"/>
        <v/>
      </c>
      <c r="AJ81" s="46" t="str">
        <f t="shared" si="130"/>
        <v/>
      </c>
      <c r="AK81" s="120" t="str">
        <f t="shared" si="131"/>
        <v/>
      </c>
      <c r="AL81" s="120" t="str">
        <f t="shared" si="132"/>
        <v/>
      </c>
      <c r="AM81" s="120" t="str">
        <f t="shared" si="133"/>
        <v/>
      </c>
      <c r="AN81" s="211">
        <v>12</v>
      </c>
      <c r="AP81" s="39">
        <f t="shared" si="86"/>
        <v>0.167433</v>
      </c>
      <c r="AQ81" s="39">
        <f t="shared" si="87"/>
        <v>0.53859500000000005</v>
      </c>
      <c r="AR81" s="39">
        <f t="shared" si="88"/>
        <v>-0.14937</v>
      </c>
      <c r="AS81" s="39">
        <f t="shared" si="89"/>
        <v>3.9154000000000001E-2</v>
      </c>
      <c r="AT81" s="39">
        <f t="shared" si="90"/>
        <v>-3.4399999999999999E-3</v>
      </c>
      <c r="AU81" s="39">
        <f t="shared" si="91"/>
        <v>1.16E-4</v>
      </c>
      <c r="AV81" s="39">
        <f t="shared" si="92"/>
        <v>0.35807795094827777</v>
      </c>
      <c r="AX81" s="157">
        <v>16</v>
      </c>
      <c r="AY81" s="120">
        <f t="shared" si="93"/>
        <v>0.8</v>
      </c>
      <c r="AZ81" s="39">
        <f t="shared" si="94"/>
        <v>9.781502574870414E-2</v>
      </c>
      <c r="BA81" s="118">
        <f t="shared" si="95"/>
        <v>0.2</v>
      </c>
      <c r="BB81" s="39">
        <f t="shared" si="134"/>
        <v>1.9563005149740829E-2</v>
      </c>
      <c r="BC81" s="39">
        <f t="shared" si="96"/>
        <v>0.19633749527668026</v>
      </c>
      <c r="BD81" s="39">
        <f t="shared" si="97"/>
        <v>0.31371552617512521</v>
      </c>
      <c r="BE81" s="39">
        <f t="shared" si="98"/>
        <v>0.73870750680130892</v>
      </c>
      <c r="BF81" s="39">
        <f t="shared" si="99"/>
        <v>0.25242303297643409</v>
      </c>
      <c r="BG81" s="39">
        <f t="shared" si="135"/>
        <v>0.35807795094827777</v>
      </c>
      <c r="BH81" s="39">
        <f t="shared" si="136"/>
        <v>-0.3682683742097686</v>
      </c>
      <c r="BI81" s="39">
        <f t="shared" si="137"/>
        <v>0.21035252748036176</v>
      </c>
      <c r="BK81" s="129" t="str">
        <f t="shared" si="138"/>
        <v>0</v>
      </c>
      <c r="BL81" s="120" t="str">
        <f t="shared" si="139"/>
        <v>0</v>
      </c>
      <c r="BM81" s="120" t="str">
        <f t="shared" si="140"/>
        <v>No válido</v>
      </c>
      <c r="BN81" s="36"/>
      <c r="BO81" s="129" t="str">
        <f t="shared" si="100"/>
        <v>1</v>
      </c>
      <c r="BP81" s="120" t="str">
        <f t="shared" si="141"/>
        <v>1</v>
      </c>
      <c r="BQ81" s="120" t="str">
        <f t="shared" si="101"/>
        <v>0</v>
      </c>
      <c r="BR81" s="120" t="str">
        <f t="shared" si="102"/>
        <v>No válido</v>
      </c>
      <c r="BT81" s="129" t="str">
        <f t="shared" si="142"/>
        <v>0</v>
      </c>
      <c r="BU81" s="120" t="str">
        <f t="shared" si="143"/>
        <v>1</v>
      </c>
      <c r="BV81" s="120" t="str">
        <f t="shared" si="144"/>
        <v>No válido</v>
      </c>
      <c r="BX81" s="129" t="str">
        <f t="shared" si="145"/>
        <v>1</v>
      </c>
      <c r="BY81" s="129" t="str">
        <f t="shared" si="103"/>
        <v>0</v>
      </c>
      <c r="BZ81" s="27" t="str">
        <f t="shared" si="104"/>
        <v>1</v>
      </c>
      <c r="CA81" s="120" t="str">
        <f t="shared" si="146"/>
        <v>No válido</v>
      </c>
      <c r="CC81" s="129" t="str">
        <f t="shared" si="147"/>
        <v>1</v>
      </c>
      <c r="CD81" s="129" t="str">
        <f t="shared" si="105"/>
        <v>1</v>
      </c>
      <c r="CE81" s="129" t="str">
        <f t="shared" si="106"/>
        <v>0</v>
      </c>
      <c r="CF81" s="120" t="str">
        <f t="shared" si="148"/>
        <v>No válido</v>
      </c>
    </row>
    <row r="82" spans="1:84" x14ac:dyDescent="0.25">
      <c r="A82" s="111" t="s">
        <v>80</v>
      </c>
      <c r="B82" t="s">
        <v>305</v>
      </c>
      <c r="D82" s="120">
        <v>72</v>
      </c>
      <c r="E82" s="24">
        <f>'Cálculos - Distintas Ecuaciones'!F87</f>
        <v>21163</v>
      </c>
      <c r="F82" s="39">
        <f>'Cálculos - Distintas Ecuaciones'!Z87+Cunetas!J188+Cunetas!J189</f>
        <v>0.56681318259614732</v>
      </c>
      <c r="G82" s="50" t="str">
        <f t="shared" si="107"/>
        <v>1</v>
      </c>
      <c r="H82" s="120">
        <f t="shared" si="108"/>
        <v>2.4E-2</v>
      </c>
      <c r="I82" s="20">
        <f t="shared" si="109"/>
        <v>0.02</v>
      </c>
      <c r="J82" s="45">
        <v>1.2</v>
      </c>
      <c r="K82" s="67" t="str">
        <f t="shared" si="110"/>
        <v>Circular</v>
      </c>
      <c r="L82" s="45"/>
      <c r="M82" s="45"/>
      <c r="N82" s="5">
        <v>0.40316912536988192</v>
      </c>
      <c r="O82" s="5">
        <f t="shared" si="111"/>
        <v>2.473112368709022</v>
      </c>
      <c r="P82" s="5">
        <f t="shared" si="112"/>
        <v>1.1335918256450912</v>
      </c>
      <c r="Q82" s="5">
        <f t="shared" si="113"/>
        <v>0.33359729110998609</v>
      </c>
      <c r="R82" s="5">
        <f t="shared" si="114"/>
        <v>1.483867421225413</v>
      </c>
      <c r="S82" s="5">
        <f t="shared" si="115"/>
        <v>0.22481610306835464</v>
      </c>
      <c r="T82" s="117">
        <f t="shared" si="116"/>
        <v>1.0000000419638966</v>
      </c>
      <c r="U82" s="5">
        <f t="shared" si="117"/>
        <v>1.6990940805010033</v>
      </c>
      <c r="V82" s="39">
        <f t="shared" si="118"/>
        <v>1.2164309170430035E-2</v>
      </c>
      <c r="W82" s="46" t="str">
        <f t="shared" si="119"/>
        <v>Aceptable</v>
      </c>
      <c r="X82" s="5">
        <f t="shared" si="120"/>
        <v>3.2749967784380572E-2</v>
      </c>
      <c r="Y82" s="5">
        <f t="shared" si="121"/>
        <v>3.2749965035748223E-2</v>
      </c>
      <c r="Z82" s="5">
        <f t="shared" si="122"/>
        <v>2.7486323495029552E-9</v>
      </c>
      <c r="AB82" s="120"/>
      <c r="AC82" s="120" t="str">
        <f t="shared" si="123"/>
        <v/>
      </c>
      <c r="AD82" s="120" t="str">
        <f t="shared" si="124"/>
        <v/>
      </c>
      <c r="AE82" s="120" t="str">
        <f t="shared" si="125"/>
        <v/>
      </c>
      <c r="AF82" s="120" t="str">
        <f t="shared" si="126"/>
        <v/>
      </c>
      <c r="AG82" s="120" t="str">
        <f t="shared" si="127"/>
        <v/>
      </c>
      <c r="AH82" s="120" t="str">
        <f t="shared" si="128"/>
        <v/>
      </c>
      <c r="AI82" s="120" t="str">
        <f t="shared" si="129"/>
        <v/>
      </c>
      <c r="AJ82" s="46" t="str">
        <f t="shared" si="130"/>
        <v/>
      </c>
      <c r="AK82" s="120" t="str">
        <f t="shared" si="131"/>
        <v/>
      </c>
      <c r="AL82" s="120" t="str">
        <f t="shared" si="132"/>
        <v/>
      </c>
      <c r="AM82" s="120" t="str">
        <f t="shared" si="133"/>
        <v/>
      </c>
      <c r="AN82" s="211">
        <v>-8</v>
      </c>
      <c r="AP82" s="39">
        <f t="shared" si="86"/>
        <v>0.167433</v>
      </c>
      <c r="AQ82" s="39">
        <f t="shared" si="87"/>
        <v>0.53859500000000005</v>
      </c>
      <c r="AR82" s="39">
        <f t="shared" si="88"/>
        <v>-0.14937</v>
      </c>
      <c r="AS82" s="39">
        <f t="shared" si="89"/>
        <v>3.9154000000000001E-2</v>
      </c>
      <c r="AT82" s="39">
        <f t="shared" si="90"/>
        <v>-3.4399999999999999E-3</v>
      </c>
      <c r="AU82" s="39">
        <f t="shared" si="91"/>
        <v>1.16E-4</v>
      </c>
      <c r="AV82" s="39">
        <f t="shared" si="92"/>
        <v>0.54587259414991096</v>
      </c>
      <c r="AX82" s="157">
        <v>14.95</v>
      </c>
      <c r="AY82" s="120">
        <f t="shared" si="93"/>
        <v>0.29899999999999999</v>
      </c>
      <c r="AZ82" s="39">
        <f t="shared" si="94"/>
        <v>0.14714172754299437</v>
      </c>
      <c r="BA82" s="118">
        <f t="shared" si="95"/>
        <v>0.2</v>
      </c>
      <c r="BB82" s="39">
        <f t="shared" si="134"/>
        <v>2.9428345508598876E-2</v>
      </c>
      <c r="BC82" s="39">
        <f t="shared" si="96"/>
        <v>0.18185642209792899</v>
      </c>
      <c r="BD82" s="39">
        <f t="shared" si="97"/>
        <v>0.35842649514952224</v>
      </c>
      <c r="BE82" s="39">
        <f t="shared" si="98"/>
        <v>0.80158456268494094</v>
      </c>
      <c r="BF82" s="39">
        <f t="shared" si="99"/>
        <v>0.86101105783446319</v>
      </c>
      <c r="BG82" s="39">
        <f t="shared" si="135"/>
        <v>0.86101105783446319</v>
      </c>
      <c r="BH82" s="39">
        <f t="shared" si="136"/>
        <v>0.46834254819538607</v>
      </c>
      <c r="BI82" s="39">
        <f t="shared" si="137"/>
        <v>0.71750921486205266</v>
      </c>
      <c r="BK82" s="129" t="str">
        <f t="shared" si="138"/>
        <v>0</v>
      </c>
      <c r="BL82" s="120" t="str">
        <f t="shared" si="139"/>
        <v>0</v>
      </c>
      <c r="BM82" s="120" t="str">
        <f t="shared" si="140"/>
        <v>No válido</v>
      </c>
      <c r="BN82" s="36"/>
      <c r="BO82" s="129" t="str">
        <f t="shared" si="100"/>
        <v>1</v>
      </c>
      <c r="BP82" s="120" t="str">
        <f t="shared" si="141"/>
        <v>0</v>
      </c>
      <c r="BQ82" s="120" t="str">
        <f t="shared" si="101"/>
        <v>0</v>
      </c>
      <c r="BR82" s="120" t="str">
        <f t="shared" si="102"/>
        <v>No válido</v>
      </c>
      <c r="BT82" s="129" t="str">
        <f t="shared" si="142"/>
        <v>0</v>
      </c>
      <c r="BU82" s="120" t="str">
        <f t="shared" si="143"/>
        <v>1</v>
      </c>
      <c r="BV82" s="120" t="str">
        <f t="shared" si="144"/>
        <v>No válido</v>
      </c>
      <c r="BX82" s="129" t="str">
        <f t="shared" si="145"/>
        <v>1</v>
      </c>
      <c r="BY82" s="129" t="str">
        <f t="shared" si="103"/>
        <v>0</v>
      </c>
      <c r="BZ82" s="27" t="str">
        <f t="shared" si="104"/>
        <v>1</v>
      </c>
      <c r="CA82" s="120" t="str">
        <f t="shared" si="146"/>
        <v>No válido</v>
      </c>
      <c r="CC82" s="129" t="str">
        <f t="shared" si="147"/>
        <v>1</v>
      </c>
      <c r="CD82" s="129" t="str">
        <f t="shared" si="105"/>
        <v>1</v>
      </c>
      <c r="CE82" s="129" t="str">
        <f t="shared" si="106"/>
        <v>0</v>
      </c>
      <c r="CF82" s="120" t="str">
        <f t="shared" si="148"/>
        <v>No válido</v>
      </c>
    </row>
    <row r="83" spans="1:84" x14ac:dyDescent="0.25">
      <c r="A83" s="111" t="s">
        <v>162</v>
      </c>
      <c r="B83" t="s">
        <v>305</v>
      </c>
      <c r="D83" s="120">
        <v>73</v>
      </c>
      <c r="E83" s="24">
        <f>'Cálculos - Distintas Ecuaciones'!F88</f>
        <v>21321.1</v>
      </c>
      <c r="F83" s="39">
        <f>'Cálculos - Distintas Ecuaciones'!Z88+Cunetas!J190</f>
        <v>0.12825861182447262</v>
      </c>
      <c r="G83" s="50" t="str">
        <f t="shared" si="107"/>
        <v>1</v>
      </c>
      <c r="H83" s="120">
        <f t="shared" si="108"/>
        <v>2.4E-2</v>
      </c>
      <c r="I83" s="20">
        <v>0.03</v>
      </c>
      <c r="J83" s="45">
        <v>1.2</v>
      </c>
      <c r="K83" s="67" t="str">
        <f t="shared" si="110"/>
        <v>Circular</v>
      </c>
      <c r="L83" s="45"/>
      <c r="M83" s="45"/>
      <c r="N83" s="5">
        <v>0.18828007713811501</v>
      </c>
      <c r="O83" s="5">
        <f t="shared" si="111"/>
        <v>1.6290888071711602</v>
      </c>
      <c r="P83" s="5">
        <f t="shared" si="112"/>
        <v>0.87289565268387814</v>
      </c>
      <c r="Q83" s="5">
        <f t="shared" si="113"/>
        <v>0.11354171989606827</v>
      </c>
      <c r="R83" s="5">
        <f t="shared" si="114"/>
        <v>0.97745328430269607</v>
      </c>
      <c r="S83" s="5">
        <f t="shared" si="115"/>
        <v>0.11616076360832694</v>
      </c>
      <c r="T83" s="117">
        <f t="shared" si="116"/>
        <v>0.99999998610608642</v>
      </c>
      <c r="U83" s="5">
        <f t="shared" si="117"/>
        <v>1.1296166020901888</v>
      </c>
      <c r="V83" s="39">
        <f t="shared" si="118"/>
        <v>1.2967970252727747E-2</v>
      </c>
      <c r="W83" s="46" t="str">
        <f t="shared" si="119"/>
        <v>Aceptable</v>
      </c>
      <c r="X83" s="5">
        <f t="shared" si="120"/>
        <v>1.6768880231540007E-3</v>
      </c>
      <c r="Y83" s="5">
        <f t="shared" si="121"/>
        <v>1.6768880697510767E-3</v>
      </c>
      <c r="Z83" s="5">
        <f t="shared" si="122"/>
        <v>-4.6597076024113004E-11</v>
      </c>
      <c r="AB83" s="120"/>
      <c r="AC83" s="120" t="str">
        <f t="shared" si="123"/>
        <v/>
      </c>
      <c r="AD83" s="120" t="str">
        <f t="shared" si="124"/>
        <v/>
      </c>
      <c r="AE83" s="120" t="str">
        <f t="shared" si="125"/>
        <v/>
      </c>
      <c r="AF83" s="120" t="str">
        <f t="shared" si="126"/>
        <v/>
      </c>
      <c r="AG83" s="120" t="str">
        <f t="shared" si="127"/>
        <v/>
      </c>
      <c r="AH83" s="120" t="str">
        <f t="shared" si="128"/>
        <v/>
      </c>
      <c r="AI83" s="120" t="str">
        <f t="shared" si="129"/>
        <v/>
      </c>
      <c r="AJ83" s="46" t="str">
        <f t="shared" si="130"/>
        <v/>
      </c>
      <c r="AK83" s="120" t="str">
        <f t="shared" si="131"/>
        <v/>
      </c>
      <c r="AL83" s="120" t="str">
        <f t="shared" si="132"/>
        <v/>
      </c>
      <c r="AM83" s="120" t="str">
        <f t="shared" si="133"/>
        <v/>
      </c>
      <c r="AN83" s="211">
        <v>28</v>
      </c>
      <c r="AP83" s="39">
        <f t="shared" si="86"/>
        <v>0.167433</v>
      </c>
      <c r="AQ83" s="39">
        <f t="shared" si="87"/>
        <v>0.53859500000000005</v>
      </c>
      <c r="AR83" s="39">
        <f t="shared" si="88"/>
        <v>-0.14937</v>
      </c>
      <c r="AS83" s="39">
        <f t="shared" si="89"/>
        <v>3.9154000000000001E-2</v>
      </c>
      <c r="AT83" s="39">
        <f t="shared" si="90"/>
        <v>-3.4399999999999999E-3</v>
      </c>
      <c r="AU83" s="39">
        <f t="shared" si="91"/>
        <v>1.16E-4</v>
      </c>
      <c r="AV83" s="39">
        <f t="shared" si="92"/>
        <v>0.27436523479697139</v>
      </c>
      <c r="AX83" s="157">
        <v>34.85</v>
      </c>
      <c r="AY83" s="120">
        <f t="shared" si="93"/>
        <v>1.0455000000000001</v>
      </c>
      <c r="AZ83" s="39">
        <f t="shared" si="94"/>
        <v>6.5037393869407947E-2</v>
      </c>
      <c r="BA83" s="118">
        <f t="shared" si="95"/>
        <v>0.2</v>
      </c>
      <c r="BB83" s="39">
        <f t="shared" si="134"/>
        <v>1.300747877388159E-2</v>
      </c>
      <c r="BC83" s="39">
        <f t="shared" si="96"/>
        <v>0.45193376330756191</v>
      </c>
      <c r="BD83" s="39">
        <f t="shared" si="97"/>
        <v>0.52997863595085148</v>
      </c>
      <c r="BE83" s="39">
        <f t="shared" si="98"/>
        <v>0.69414003856905748</v>
      </c>
      <c r="BF83" s="39">
        <f t="shared" si="99"/>
        <v>0.17861867451990898</v>
      </c>
      <c r="BG83" s="39">
        <f t="shared" si="135"/>
        <v>0.27436523479697139</v>
      </c>
      <c r="BH83" s="39">
        <f t="shared" si="136"/>
        <v>-0.64261230433585725</v>
      </c>
      <c r="BI83" s="39">
        <f t="shared" si="137"/>
        <v>0.14884889543325749</v>
      </c>
      <c r="BK83" s="129" t="str">
        <f t="shared" si="138"/>
        <v>0</v>
      </c>
      <c r="BL83" s="120" t="str">
        <f t="shared" si="139"/>
        <v>0</v>
      </c>
      <c r="BM83" s="120" t="str">
        <f t="shared" si="140"/>
        <v>No válido</v>
      </c>
      <c r="BN83" s="36"/>
      <c r="BO83" s="129" t="str">
        <f t="shared" si="100"/>
        <v>1</v>
      </c>
      <c r="BP83" s="120" t="str">
        <f t="shared" si="141"/>
        <v>1</v>
      </c>
      <c r="BQ83" s="120" t="str">
        <f t="shared" si="101"/>
        <v>0</v>
      </c>
      <c r="BR83" s="120" t="str">
        <f t="shared" si="102"/>
        <v>No válido</v>
      </c>
      <c r="BT83" s="129" t="str">
        <f t="shared" si="142"/>
        <v>0</v>
      </c>
      <c r="BU83" s="120" t="str">
        <f t="shared" si="143"/>
        <v>1</v>
      </c>
      <c r="BV83" s="120" t="str">
        <f t="shared" si="144"/>
        <v>No válido</v>
      </c>
      <c r="BX83" s="129" t="str">
        <f t="shared" si="145"/>
        <v>1</v>
      </c>
      <c r="BY83" s="129" t="str">
        <f t="shared" si="103"/>
        <v>0</v>
      </c>
      <c r="BZ83" s="27" t="str">
        <f t="shared" si="104"/>
        <v>1</v>
      </c>
      <c r="CA83" s="120" t="str">
        <f t="shared" si="146"/>
        <v>No válido</v>
      </c>
      <c r="CC83" s="129" t="str">
        <f t="shared" si="147"/>
        <v>1</v>
      </c>
      <c r="CD83" s="129" t="str">
        <f t="shared" si="105"/>
        <v>1</v>
      </c>
      <c r="CE83" s="129" t="str">
        <f t="shared" si="106"/>
        <v>0</v>
      </c>
      <c r="CF83" s="120" t="str">
        <f t="shared" si="148"/>
        <v>No válido</v>
      </c>
    </row>
    <row r="84" spans="1:84" x14ac:dyDescent="0.25">
      <c r="A84" s="111" t="s">
        <v>80</v>
      </c>
      <c r="B84" t="s">
        <v>305</v>
      </c>
      <c r="D84" s="120">
        <v>74</v>
      </c>
      <c r="E84" s="24">
        <f>'Cálculos - Distintas Ecuaciones'!F89</f>
        <v>21370</v>
      </c>
      <c r="F84" s="39">
        <f>'Cálculos - Distintas Ecuaciones'!Z89+Cunetas!J191</f>
        <v>3.902656114093158E-2</v>
      </c>
      <c r="G84" s="50" t="str">
        <f t="shared" si="107"/>
        <v>1</v>
      </c>
      <c r="H84" s="120">
        <f t="shared" si="108"/>
        <v>2.4E-2</v>
      </c>
      <c r="I84" s="20">
        <v>0.05</v>
      </c>
      <c r="J84" s="45">
        <v>1.2</v>
      </c>
      <c r="K84" s="67" t="str">
        <f t="shared" si="110"/>
        <v>Circular</v>
      </c>
      <c r="L84" s="45"/>
      <c r="M84" s="45"/>
      <c r="N84" s="5">
        <v>0.10310670305268495</v>
      </c>
      <c r="O84" s="5">
        <f t="shared" si="111"/>
        <v>1.1899750364751445</v>
      </c>
      <c r="P84" s="5">
        <f t="shared" si="112"/>
        <v>0.67259810124271802</v>
      </c>
      <c r="Q84" s="5">
        <f t="shared" si="113"/>
        <v>4.7090762542026925E-2</v>
      </c>
      <c r="R84" s="5">
        <f t="shared" si="114"/>
        <v>0.71398502188508661</v>
      </c>
      <c r="S84" s="5">
        <f t="shared" si="115"/>
        <v>6.5954832522531565E-2</v>
      </c>
      <c r="T84" s="117">
        <f t="shared" si="116"/>
        <v>1.0000000344480269</v>
      </c>
      <c r="U84" s="5">
        <f t="shared" si="117"/>
        <v>0.82875194696840349</v>
      </c>
      <c r="V84" s="39">
        <f t="shared" si="118"/>
        <v>1.4845999592516361E-2</v>
      </c>
      <c r="W84" s="46" t="str">
        <f t="shared" si="119"/>
        <v>Aceptable</v>
      </c>
      <c r="X84" s="5">
        <f t="shared" si="120"/>
        <v>1.5525713297521619E-4</v>
      </c>
      <c r="Y84" s="5">
        <f t="shared" si="121"/>
        <v>1.55257122278613E-4</v>
      </c>
      <c r="Z84" s="5">
        <f t="shared" si="122"/>
        <v>1.0696603189785589E-11</v>
      </c>
      <c r="AB84" s="120"/>
      <c r="AC84" s="120" t="str">
        <f t="shared" si="123"/>
        <v/>
      </c>
      <c r="AD84" s="120" t="str">
        <f t="shared" si="124"/>
        <v/>
      </c>
      <c r="AE84" s="120" t="str">
        <f t="shared" si="125"/>
        <v/>
      </c>
      <c r="AF84" s="120" t="str">
        <f t="shared" si="126"/>
        <v/>
      </c>
      <c r="AG84" s="120" t="str">
        <f t="shared" si="127"/>
        <v/>
      </c>
      <c r="AH84" s="120" t="str">
        <f t="shared" si="128"/>
        <v/>
      </c>
      <c r="AI84" s="120" t="str">
        <f t="shared" si="129"/>
        <v/>
      </c>
      <c r="AJ84" s="46" t="str">
        <f t="shared" si="130"/>
        <v/>
      </c>
      <c r="AK84" s="120" t="str">
        <f t="shared" si="131"/>
        <v/>
      </c>
      <c r="AL84" s="120" t="str">
        <f t="shared" si="132"/>
        <v/>
      </c>
      <c r="AM84" s="120" t="str">
        <f t="shared" si="133"/>
        <v/>
      </c>
      <c r="AN84" s="211">
        <v>30</v>
      </c>
      <c r="AP84" s="39">
        <f t="shared" si="86"/>
        <v>0.167433</v>
      </c>
      <c r="AQ84" s="39">
        <f t="shared" si="87"/>
        <v>0.53859500000000005</v>
      </c>
      <c r="AR84" s="39">
        <f t="shared" si="88"/>
        <v>-0.14937</v>
      </c>
      <c r="AS84" s="39">
        <f t="shared" si="89"/>
        <v>3.9154000000000001E-2</v>
      </c>
      <c r="AT84" s="39">
        <f t="shared" si="90"/>
        <v>-3.4399999999999999E-3</v>
      </c>
      <c r="AU84" s="39">
        <f t="shared" si="91"/>
        <v>1.16E-4</v>
      </c>
      <c r="AV84" s="39">
        <f t="shared" si="92"/>
        <v>0.19952684056199704</v>
      </c>
      <c r="AX84" s="157">
        <v>23.4</v>
      </c>
      <c r="AY84" s="120">
        <f t="shared" si="93"/>
        <v>1.17</v>
      </c>
      <c r="AZ84" s="39">
        <f t="shared" si="94"/>
        <v>3.500661516839549E-2</v>
      </c>
      <c r="BA84" s="118">
        <f t="shared" si="95"/>
        <v>0.2</v>
      </c>
      <c r="BB84" s="39">
        <f t="shared" si="134"/>
        <v>7.001323033679098E-3</v>
      </c>
      <c r="BC84" s="39">
        <f t="shared" si="96"/>
        <v>0.34739639046488291</v>
      </c>
      <c r="BD84" s="39">
        <f t="shared" si="97"/>
        <v>0.38940432866695751</v>
      </c>
      <c r="BE84" s="39">
        <f t="shared" si="98"/>
        <v>0.65155335152634242</v>
      </c>
      <c r="BF84" s="39">
        <f t="shared" si="99"/>
        <v>-0.12904231980669989</v>
      </c>
      <c r="BG84" s="39">
        <f t="shared" si="135"/>
        <v>0.19952684056199704</v>
      </c>
      <c r="BH84" s="39">
        <f t="shared" si="136"/>
        <v>-0.80872763286500249</v>
      </c>
      <c r="BI84" s="39">
        <f t="shared" si="137"/>
        <v>-0.10753526650558325</v>
      </c>
      <c r="BK84" s="129" t="str">
        <f t="shared" si="138"/>
        <v>0</v>
      </c>
      <c r="BL84" s="120" t="str">
        <f t="shared" si="139"/>
        <v>0</v>
      </c>
      <c r="BM84" s="120" t="str">
        <f t="shared" si="140"/>
        <v>No válido</v>
      </c>
      <c r="BN84" s="36"/>
      <c r="BO84" s="129" t="str">
        <f t="shared" si="100"/>
        <v>1</v>
      </c>
      <c r="BP84" s="120" t="str">
        <f t="shared" si="141"/>
        <v>1</v>
      </c>
      <c r="BQ84" s="120" t="str">
        <f t="shared" si="101"/>
        <v>0</v>
      </c>
      <c r="BR84" s="120" t="str">
        <f t="shared" si="102"/>
        <v>No válido</v>
      </c>
      <c r="BT84" s="129" t="str">
        <f t="shared" si="142"/>
        <v>0</v>
      </c>
      <c r="BU84" s="120" t="str">
        <f t="shared" si="143"/>
        <v>1</v>
      </c>
      <c r="BV84" s="120" t="str">
        <f t="shared" si="144"/>
        <v>No válido</v>
      </c>
      <c r="BX84" s="129" t="str">
        <f t="shared" si="145"/>
        <v>1</v>
      </c>
      <c r="BY84" s="129" t="str">
        <f t="shared" si="103"/>
        <v>0</v>
      </c>
      <c r="BZ84" s="27" t="str">
        <f t="shared" si="104"/>
        <v>1</v>
      </c>
      <c r="CA84" s="120" t="str">
        <f t="shared" si="146"/>
        <v>No válido</v>
      </c>
      <c r="CC84" s="129" t="str">
        <f t="shared" si="147"/>
        <v>1</v>
      </c>
      <c r="CD84" s="129" t="str">
        <f t="shared" si="105"/>
        <v>1</v>
      </c>
      <c r="CE84" s="129" t="str">
        <f t="shared" si="106"/>
        <v>0</v>
      </c>
      <c r="CF84" s="120" t="str">
        <f t="shared" si="148"/>
        <v>No válido</v>
      </c>
    </row>
    <row r="85" spans="1:84" x14ac:dyDescent="0.25">
      <c r="A85" s="150" t="s">
        <v>80</v>
      </c>
      <c r="D85" s="120">
        <v>75</v>
      </c>
      <c r="E85" s="24">
        <f>'Cálculos - Distintas Ecuaciones'!F90</f>
        <v>21800</v>
      </c>
      <c r="F85" s="39">
        <f>'Cálculos - Distintas Ecuaciones'!Z90+Cunetas!J192+Cunetas!J193</f>
        <v>0.20608594699314006</v>
      </c>
      <c r="G85" s="50" t="str">
        <f t="shared" si="107"/>
        <v>1</v>
      </c>
      <c r="H85" s="120">
        <f t="shared" si="108"/>
        <v>2.4E-2</v>
      </c>
      <c r="I85" s="20">
        <f t="shared" si="109"/>
        <v>0.02</v>
      </c>
      <c r="J85" s="45">
        <v>1.2</v>
      </c>
      <c r="K85" s="67" t="str">
        <f t="shared" si="110"/>
        <v>Circular</v>
      </c>
      <c r="L85" s="45"/>
      <c r="M85" s="45"/>
      <c r="N85" s="5">
        <v>0.23971926130474067</v>
      </c>
      <c r="O85" s="5">
        <f t="shared" si="111"/>
        <v>1.853420434703597</v>
      </c>
      <c r="P85" s="5">
        <f t="shared" si="112"/>
        <v>0.95957863528779819</v>
      </c>
      <c r="Q85" s="5">
        <f t="shared" si="113"/>
        <v>0.16075682846780909</v>
      </c>
      <c r="R85" s="5">
        <f t="shared" si="114"/>
        <v>1.1120522608221581</v>
      </c>
      <c r="S85" s="5">
        <f t="shared" si="115"/>
        <v>0.14455869938069185</v>
      </c>
      <c r="T85" s="117">
        <f t="shared" si="116"/>
        <v>1.0000000351391352</v>
      </c>
      <c r="U85" s="5">
        <f t="shared" si="117"/>
        <v>1.2819732073428405</v>
      </c>
      <c r="V85" s="39">
        <f t="shared" si="118"/>
        <v>1.2477322622782614E-2</v>
      </c>
      <c r="W85" s="46" t="str">
        <f t="shared" si="119"/>
        <v>Aceptable</v>
      </c>
      <c r="X85" s="5">
        <f t="shared" si="120"/>
        <v>4.3294003616778124E-3</v>
      </c>
      <c r="Y85" s="5">
        <f t="shared" si="121"/>
        <v>4.3294000574150594E-3</v>
      </c>
      <c r="Z85" s="5">
        <f t="shared" si="122"/>
        <v>3.0426275301337347E-10</v>
      </c>
      <c r="AB85" s="120"/>
      <c r="AC85" s="120" t="str">
        <f t="shared" si="123"/>
        <v/>
      </c>
      <c r="AD85" s="120" t="str">
        <f t="shared" si="124"/>
        <v/>
      </c>
      <c r="AE85" s="120" t="str">
        <f t="shared" si="125"/>
        <v/>
      </c>
      <c r="AF85" s="120" t="str">
        <f t="shared" si="126"/>
        <v/>
      </c>
      <c r="AG85" s="120" t="str">
        <f t="shared" si="127"/>
        <v/>
      </c>
      <c r="AH85" s="120" t="str">
        <f t="shared" si="128"/>
        <v/>
      </c>
      <c r="AI85" s="120" t="str">
        <f t="shared" si="129"/>
        <v/>
      </c>
      <c r="AJ85" s="46" t="str">
        <f t="shared" si="130"/>
        <v/>
      </c>
      <c r="AK85" s="120" t="str">
        <f t="shared" si="131"/>
        <v/>
      </c>
      <c r="AL85" s="120" t="str">
        <f t="shared" si="132"/>
        <v/>
      </c>
      <c r="AM85" s="120" t="str">
        <f t="shared" si="133"/>
        <v/>
      </c>
      <c r="AN85" s="211">
        <v>18</v>
      </c>
      <c r="AP85" s="39">
        <f t="shared" si="86"/>
        <v>0.167433</v>
      </c>
      <c r="AQ85" s="39">
        <f t="shared" si="87"/>
        <v>0.53859500000000005</v>
      </c>
      <c r="AR85" s="39">
        <f t="shared" si="88"/>
        <v>-0.14937</v>
      </c>
      <c r="AS85" s="39">
        <f t="shared" si="89"/>
        <v>3.9154000000000001E-2</v>
      </c>
      <c r="AT85" s="39">
        <f t="shared" si="90"/>
        <v>-3.4399999999999999E-3</v>
      </c>
      <c r="AU85" s="39">
        <f t="shared" si="91"/>
        <v>1.16E-4</v>
      </c>
      <c r="AV85" s="39">
        <f t="shared" si="92"/>
        <v>0.33243561227724694</v>
      </c>
      <c r="AX85" s="157">
        <v>8.9499999999999993</v>
      </c>
      <c r="AY85" s="120">
        <f t="shared" si="93"/>
        <v>0.17899999999999999</v>
      </c>
      <c r="AZ85" s="39">
        <f t="shared" si="94"/>
        <v>8.3764286663857768E-2</v>
      </c>
      <c r="BA85" s="118">
        <f t="shared" si="95"/>
        <v>0.2</v>
      </c>
      <c r="BB85" s="39">
        <f t="shared" si="134"/>
        <v>1.6752857332771553E-2</v>
      </c>
      <c r="BC85" s="39">
        <f t="shared" si="96"/>
        <v>0.1116720374739044</v>
      </c>
      <c r="BD85" s="39">
        <f t="shared" si="97"/>
        <v>0.21218918147053373</v>
      </c>
      <c r="BE85" s="39">
        <f t="shared" si="98"/>
        <v>0.71985963065237035</v>
      </c>
      <c r="BF85" s="39">
        <f t="shared" si="99"/>
        <v>0.75304881212290398</v>
      </c>
      <c r="BG85" s="39">
        <f t="shared" si="135"/>
        <v>0.75304881212290398</v>
      </c>
      <c r="BH85" s="39">
        <f t="shared" si="136"/>
        <v>0.47837401010241998</v>
      </c>
      <c r="BI85" s="39">
        <f t="shared" si="137"/>
        <v>0.62754067676908665</v>
      </c>
      <c r="BK85" s="129" t="str">
        <f t="shared" si="138"/>
        <v>0</v>
      </c>
      <c r="BL85" s="120" t="str">
        <f t="shared" si="139"/>
        <v>0</v>
      </c>
      <c r="BM85" s="120" t="str">
        <f t="shared" si="140"/>
        <v>No válido</v>
      </c>
      <c r="BN85" s="36"/>
      <c r="BO85" s="129" t="str">
        <f t="shared" si="100"/>
        <v>1</v>
      </c>
      <c r="BP85" s="120" t="str">
        <f t="shared" si="141"/>
        <v>0</v>
      </c>
      <c r="BQ85" s="120" t="str">
        <f t="shared" si="101"/>
        <v>0</v>
      </c>
      <c r="BR85" s="120" t="str">
        <f t="shared" si="102"/>
        <v>No válido</v>
      </c>
      <c r="BT85" s="129" t="str">
        <f t="shared" si="142"/>
        <v>0</v>
      </c>
      <c r="BU85" s="120" t="str">
        <f t="shared" si="143"/>
        <v>1</v>
      </c>
      <c r="BV85" s="120" t="str">
        <f t="shared" si="144"/>
        <v>No válido</v>
      </c>
      <c r="BX85" s="129" t="str">
        <f t="shared" si="145"/>
        <v>1</v>
      </c>
      <c r="BY85" s="129" t="str">
        <f t="shared" si="103"/>
        <v>0</v>
      </c>
      <c r="BZ85" s="27" t="str">
        <f t="shared" si="104"/>
        <v>1</v>
      </c>
      <c r="CA85" s="120" t="str">
        <f t="shared" si="146"/>
        <v>No válido</v>
      </c>
      <c r="CC85" s="129" t="str">
        <f t="shared" si="147"/>
        <v>1</v>
      </c>
      <c r="CD85" s="129" t="str">
        <f t="shared" si="105"/>
        <v>1</v>
      </c>
      <c r="CE85" s="129" t="str">
        <f t="shared" si="106"/>
        <v>0</v>
      </c>
      <c r="CF85" s="120" t="str">
        <f t="shared" si="148"/>
        <v>No válido</v>
      </c>
    </row>
    <row r="86" spans="1:84" x14ac:dyDescent="0.25">
      <c r="A86" s="150" t="s">
        <v>162</v>
      </c>
      <c r="B86" t="s">
        <v>305</v>
      </c>
      <c r="D86" s="120">
        <v>76</v>
      </c>
      <c r="E86" s="24">
        <f>'Cálculos - Distintas Ecuaciones'!F91</f>
        <v>21915</v>
      </c>
      <c r="F86" s="39">
        <f>'Cálculos - Distintas Ecuaciones'!Z91+Cunetas!J194</f>
        <v>3.1601539991751124E-2</v>
      </c>
      <c r="G86" s="50" t="str">
        <f t="shared" si="107"/>
        <v>1</v>
      </c>
      <c r="H86" s="120">
        <f t="shared" si="108"/>
        <v>2.4E-2</v>
      </c>
      <c r="I86" s="20">
        <f t="shared" si="109"/>
        <v>0.02</v>
      </c>
      <c r="J86" s="45">
        <v>1.2</v>
      </c>
      <c r="K86" s="67" t="str">
        <f t="shared" si="110"/>
        <v>Circular</v>
      </c>
      <c r="L86" s="45"/>
      <c r="M86" s="45"/>
      <c r="N86" s="5">
        <v>9.2699607698084344E-2</v>
      </c>
      <c r="O86" s="5">
        <f t="shared" si="111"/>
        <v>1.1265885111318559</v>
      </c>
      <c r="P86" s="5">
        <f t="shared" si="112"/>
        <v>0.64076926259090328</v>
      </c>
      <c r="Q86" s="5">
        <f t="shared" si="113"/>
        <v>4.0254682860046846E-2</v>
      </c>
      <c r="R86" s="5">
        <f t="shared" si="114"/>
        <v>0.67595310667911346</v>
      </c>
      <c r="S86" s="5">
        <f t="shared" si="115"/>
        <v>5.9552478511140913E-2</v>
      </c>
      <c r="T86" s="117">
        <f t="shared" si="116"/>
        <v>0.99999991804433686</v>
      </c>
      <c r="U86" s="5">
        <f t="shared" si="117"/>
        <v>0.78504009338789127</v>
      </c>
      <c r="V86" s="39">
        <f t="shared" si="118"/>
        <v>1.5264164474393497E-2</v>
      </c>
      <c r="W86" s="46" t="str">
        <f t="shared" si="119"/>
        <v>Aceptable</v>
      </c>
      <c r="X86" s="5">
        <f t="shared" si="120"/>
        <v>1.0179993168707907E-4</v>
      </c>
      <c r="Y86" s="5">
        <f t="shared" si="121"/>
        <v>1.0179994837324297E-4</v>
      </c>
      <c r="Z86" s="5">
        <f t="shared" si="122"/>
        <v>-1.6686163898087941E-11</v>
      </c>
      <c r="AB86" s="120"/>
      <c r="AC86" s="120" t="str">
        <f t="shared" si="123"/>
        <v/>
      </c>
      <c r="AD86" s="120" t="str">
        <f t="shared" si="124"/>
        <v/>
      </c>
      <c r="AE86" s="120" t="str">
        <f t="shared" si="125"/>
        <v/>
      </c>
      <c r="AF86" s="120" t="str">
        <f t="shared" si="126"/>
        <v/>
      </c>
      <c r="AG86" s="120" t="str">
        <f t="shared" si="127"/>
        <v/>
      </c>
      <c r="AH86" s="120" t="str">
        <f t="shared" si="128"/>
        <v/>
      </c>
      <c r="AI86" s="120" t="str">
        <f t="shared" si="129"/>
        <v/>
      </c>
      <c r="AJ86" s="46" t="str">
        <f t="shared" si="130"/>
        <v/>
      </c>
      <c r="AK86" s="120" t="str">
        <f t="shared" si="131"/>
        <v/>
      </c>
      <c r="AL86" s="120" t="str">
        <f t="shared" si="132"/>
        <v/>
      </c>
      <c r="AM86" s="120" t="str">
        <f t="shared" si="133"/>
        <v/>
      </c>
      <c r="AN86" s="211">
        <v>10</v>
      </c>
      <c r="AP86" s="39">
        <f t="shared" si="86"/>
        <v>0.167433</v>
      </c>
      <c r="AQ86" s="39">
        <f t="shared" si="87"/>
        <v>0.53859500000000005</v>
      </c>
      <c r="AR86" s="39">
        <f t="shared" si="88"/>
        <v>-0.14937</v>
      </c>
      <c r="AS86" s="39">
        <f t="shared" si="89"/>
        <v>3.9154000000000001E-2</v>
      </c>
      <c r="AT86" s="39">
        <f t="shared" si="90"/>
        <v>-3.4399999999999999E-3</v>
      </c>
      <c r="AU86" s="39">
        <f t="shared" si="91"/>
        <v>1.16E-4</v>
      </c>
      <c r="AV86" s="39">
        <f t="shared" si="92"/>
        <v>0.2121384343385809</v>
      </c>
      <c r="AX86" s="157">
        <v>11.4</v>
      </c>
      <c r="AY86" s="120">
        <f t="shared" si="93"/>
        <v>0.22800000000000001</v>
      </c>
      <c r="AZ86" s="39">
        <f t="shared" si="94"/>
        <v>3.141121040909628E-2</v>
      </c>
      <c r="BA86" s="118">
        <f t="shared" si="95"/>
        <v>0.2</v>
      </c>
      <c r="BB86" s="39">
        <f t="shared" si="134"/>
        <v>6.2822420818192566E-3</v>
      </c>
      <c r="BC86" s="39">
        <f t="shared" si="96"/>
        <v>0.17401147500808589</v>
      </c>
      <c r="BD86" s="39">
        <f t="shared" si="97"/>
        <v>0.21170492749900144</v>
      </c>
      <c r="BE86" s="39">
        <f t="shared" si="98"/>
        <v>0.64634980384904217</v>
      </c>
      <c r="BF86" s="39">
        <f t="shared" si="99"/>
        <v>0.63005473134804357</v>
      </c>
      <c r="BG86" s="39">
        <f t="shared" si="135"/>
        <v>0.63005473134804357</v>
      </c>
      <c r="BH86" s="39">
        <f t="shared" si="136"/>
        <v>0.33504560945670303</v>
      </c>
      <c r="BI86" s="39">
        <f t="shared" si="137"/>
        <v>0.52504560945670298</v>
      </c>
      <c r="BK86" s="129" t="str">
        <f t="shared" si="138"/>
        <v>0</v>
      </c>
      <c r="BL86" s="120" t="str">
        <f t="shared" si="139"/>
        <v>0</v>
      </c>
      <c r="BM86" s="120" t="str">
        <f t="shared" si="140"/>
        <v>No válido</v>
      </c>
      <c r="BN86" s="36"/>
      <c r="BO86" s="129" t="str">
        <f t="shared" si="100"/>
        <v>1</v>
      </c>
      <c r="BP86" s="120" t="str">
        <f t="shared" si="141"/>
        <v>0</v>
      </c>
      <c r="BQ86" s="120" t="str">
        <f t="shared" si="101"/>
        <v>0</v>
      </c>
      <c r="BR86" s="120" t="str">
        <f t="shared" si="102"/>
        <v>No válido</v>
      </c>
      <c r="BT86" s="129" t="str">
        <f t="shared" si="142"/>
        <v>0</v>
      </c>
      <c r="BU86" s="120" t="str">
        <f t="shared" si="143"/>
        <v>1</v>
      </c>
      <c r="BV86" s="120" t="str">
        <f t="shared" si="144"/>
        <v>No válido</v>
      </c>
      <c r="BX86" s="129" t="str">
        <f t="shared" si="145"/>
        <v>1</v>
      </c>
      <c r="BY86" s="129" t="str">
        <f t="shared" si="103"/>
        <v>0</v>
      </c>
      <c r="BZ86" s="27" t="str">
        <f t="shared" si="104"/>
        <v>1</v>
      </c>
      <c r="CA86" s="120" t="str">
        <f t="shared" si="146"/>
        <v>No válido</v>
      </c>
      <c r="CC86" s="129" t="str">
        <f t="shared" si="147"/>
        <v>1</v>
      </c>
      <c r="CD86" s="129" t="str">
        <f t="shared" si="105"/>
        <v>1</v>
      </c>
      <c r="CE86" s="129" t="str">
        <f t="shared" si="106"/>
        <v>0</v>
      </c>
      <c r="CF86" s="120" t="str">
        <f t="shared" si="148"/>
        <v>No válido</v>
      </c>
    </row>
    <row r="87" spans="1:84" x14ac:dyDescent="0.25">
      <c r="A87" s="150" t="s">
        <v>79</v>
      </c>
      <c r="D87" s="120">
        <v>77</v>
      </c>
      <c r="E87" s="24">
        <f>'Cálculos - Distintas Ecuaciones'!F93</f>
        <v>22197</v>
      </c>
      <c r="F87" s="39">
        <f>'Cálculos - Distintas Ecuaciones'!Z93+Cunetas!J195+Cunetas!J196</f>
        <v>2.7886149700799017</v>
      </c>
      <c r="G87" s="50" t="str">
        <f t="shared" si="107"/>
        <v>1</v>
      </c>
      <c r="H87" s="120">
        <f t="shared" si="108"/>
        <v>2.4E-2</v>
      </c>
      <c r="I87" s="20">
        <v>0.05</v>
      </c>
      <c r="J87" s="45">
        <v>1.4</v>
      </c>
      <c r="K87" s="67" t="str">
        <f t="shared" si="110"/>
        <v>Circular</v>
      </c>
      <c r="L87" s="45"/>
      <c r="M87" s="45"/>
      <c r="N87" s="5">
        <v>0.88316447288152589</v>
      </c>
      <c r="O87" s="5">
        <f t="shared" si="111"/>
        <v>3.6710834236984966</v>
      </c>
      <c r="P87" s="5">
        <f t="shared" si="112"/>
        <v>1.3512228178565262</v>
      </c>
      <c r="Q87" s="5">
        <f t="shared" si="113"/>
        <v>1.0231634463952217</v>
      </c>
      <c r="R87" s="5">
        <f t="shared" si="114"/>
        <v>2.5697583965889477</v>
      </c>
      <c r="S87" s="5">
        <f t="shared" si="115"/>
        <v>0.3981555027715255</v>
      </c>
      <c r="T87" s="117">
        <f t="shared" si="116"/>
        <v>1.0000000272445408</v>
      </c>
      <c r="U87" s="5">
        <f t="shared" si="117"/>
        <v>2.7254833818630493</v>
      </c>
      <c r="V87" s="39">
        <f t="shared" si="118"/>
        <v>1.4607389072228218E-2</v>
      </c>
      <c r="W87" s="46" t="str">
        <f t="shared" si="119"/>
        <v>Aceptable</v>
      </c>
      <c r="X87" s="5">
        <f t="shared" si="120"/>
        <v>0.79269861889436599</v>
      </c>
      <c r="Y87" s="5">
        <f t="shared" si="121"/>
        <v>0.79269857570094815</v>
      </c>
      <c r="Z87" s="5">
        <f t="shared" si="122"/>
        <v>4.3193417842424253E-8</v>
      </c>
      <c r="AB87" s="120"/>
      <c r="AC87" s="120" t="str">
        <f t="shared" si="123"/>
        <v/>
      </c>
      <c r="AD87" s="120" t="str">
        <f t="shared" si="124"/>
        <v/>
      </c>
      <c r="AE87" s="120" t="str">
        <f t="shared" si="125"/>
        <v/>
      </c>
      <c r="AF87" s="120" t="str">
        <f t="shared" si="126"/>
        <v/>
      </c>
      <c r="AG87" s="120" t="str">
        <f t="shared" si="127"/>
        <v/>
      </c>
      <c r="AH87" s="120" t="str">
        <f t="shared" si="128"/>
        <v/>
      </c>
      <c r="AI87" s="120" t="str">
        <f t="shared" si="129"/>
        <v/>
      </c>
      <c r="AJ87" s="46" t="str">
        <f t="shared" si="130"/>
        <v/>
      </c>
      <c r="AK87" s="120" t="str">
        <f t="shared" si="131"/>
        <v/>
      </c>
      <c r="AL87" s="120" t="str">
        <f t="shared" si="132"/>
        <v/>
      </c>
      <c r="AM87" s="120" t="str">
        <f t="shared" si="133"/>
        <v/>
      </c>
      <c r="AN87" s="211">
        <v>0</v>
      </c>
      <c r="AP87" s="39">
        <f t="shared" si="86"/>
        <v>0.167433</v>
      </c>
      <c r="AQ87" s="39">
        <f t="shared" si="87"/>
        <v>0.53859500000000005</v>
      </c>
      <c r="AR87" s="39">
        <f t="shared" si="88"/>
        <v>-0.14937</v>
      </c>
      <c r="AS87" s="39">
        <f t="shared" si="89"/>
        <v>3.9154000000000001E-2</v>
      </c>
      <c r="AT87" s="39">
        <f t="shared" si="90"/>
        <v>-3.4399999999999999E-3</v>
      </c>
      <c r="AU87" s="39">
        <f t="shared" si="91"/>
        <v>1.16E-4</v>
      </c>
      <c r="AV87" s="39">
        <f t="shared" si="92"/>
        <v>1.3156350806204682</v>
      </c>
      <c r="AX87" s="157">
        <v>16.25</v>
      </c>
      <c r="AY87" s="120">
        <f t="shared" si="93"/>
        <v>0.8125</v>
      </c>
      <c r="AZ87" s="39">
        <f t="shared" si="94"/>
        <v>0.37860650687113373</v>
      </c>
      <c r="BA87" s="118">
        <f t="shared" si="95"/>
        <v>0.2</v>
      </c>
      <c r="BB87" s="39">
        <f t="shared" si="134"/>
        <v>7.5721301374226752E-2</v>
      </c>
      <c r="BC87" s="39">
        <f t="shared" si="96"/>
        <v>0.2373700724237085</v>
      </c>
      <c r="BD87" s="39">
        <f t="shared" si="97"/>
        <v>0.69169788066906901</v>
      </c>
      <c r="BE87" s="39">
        <f t="shared" si="98"/>
        <v>1.1415822364407628</v>
      </c>
      <c r="BF87" s="39">
        <f t="shared" si="99"/>
        <v>1.0207801171098319</v>
      </c>
      <c r="BG87" s="39">
        <f t="shared" si="135"/>
        <v>1.3156350806204682</v>
      </c>
      <c r="BH87" s="39">
        <f t="shared" si="136"/>
        <v>0.35938220044319158</v>
      </c>
      <c r="BI87" s="39">
        <f t="shared" si="137"/>
        <v>0.72912865507845137</v>
      </c>
      <c r="BK87" s="129" t="str">
        <f t="shared" si="138"/>
        <v>0</v>
      </c>
      <c r="BL87" s="120" t="str">
        <f t="shared" si="139"/>
        <v>0</v>
      </c>
      <c r="BM87" s="120" t="str">
        <f t="shared" si="140"/>
        <v>No válido</v>
      </c>
      <c r="BN87" s="36"/>
      <c r="BO87" s="129" t="str">
        <f t="shared" si="100"/>
        <v>1</v>
      </c>
      <c r="BP87" s="120" t="str">
        <f t="shared" si="141"/>
        <v>0</v>
      </c>
      <c r="BQ87" s="120" t="str">
        <f t="shared" si="101"/>
        <v>0</v>
      </c>
      <c r="BR87" s="120" t="str">
        <f t="shared" si="102"/>
        <v>No válido</v>
      </c>
      <c r="BT87" s="129" t="str">
        <f t="shared" si="142"/>
        <v>0</v>
      </c>
      <c r="BU87" s="120" t="str">
        <f t="shared" si="143"/>
        <v>1</v>
      </c>
      <c r="BV87" s="120" t="str">
        <f t="shared" si="144"/>
        <v>No válido</v>
      </c>
      <c r="BX87" s="129" t="str">
        <f t="shared" si="145"/>
        <v>1</v>
      </c>
      <c r="BY87" s="129" t="str">
        <f t="shared" si="103"/>
        <v>0</v>
      </c>
      <c r="BZ87" s="27" t="str">
        <f t="shared" si="104"/>
        <v>1</v>
      </c>
      <c r="CA87" s="120" t="str">
        <f t="shared" si="146"/>
        <v>No válido</v>
      </c>
      <c r="CC87" s="129" t="str">
        <f t="shared" si="147"/>
        <v>1</v>
      </c>
      <c r="CD87" s="129" t="str">
        <f t="shared" si="105"/>
        <v>1</v>
      </c>
      <c r="CE87" s="129" t="str">
        <f t="shared" si="106"/>
        <v>0</v>
      </c>
      <c r="CF87" s="120" t="str">
        <f t="shared" si="148"/>
        <v>No válido</v>
      </c>
    </row>
    <row r="88" spans="1:84" x14ac:dyDescent="0.25">
      <c r="A88" s="150" t="s">
        <v>79</v>
      </c>
      <c r="D88" s="120">
        <v>78</v>
      </c>
      <c r="E88" s="24">
        <f>'Cálculos - Distintas Ecuaciones'!F94</f>
        <v>22325.8</v>
      </c>
      <c r="F88" s="39">
        <f>'Cálculos - Distintas Ecuaciones'!Z94+Cunetas!J197</f>
        <v>1.722459741150552</v>
      </c>
      <c r="G88" s="50" t="str">
        <f t="shared" si="107"/>
        <v>1</v>
      </c>
      <c r="H88" s="120">
        <f t="shared" si="108"/>
        <v>2.4E-2</v>
      </c>
      <c r="I88" s="20">
        <v>0.05</v>
      </c>
      <c r="J88" s="45">
        <v>1.2</v>
      </c>
      <c r="K88" s="67" t="str">
        <f t="shared" si="110"/>
        <v>Circular</v>
      </c>
      <c r="L88" s="45"/>
      <c r="M88" s="45"/>
      <c r="N88" s="5">
        <v>0.71995163737626888</v>
      </c>
      <c r="O88" s="5">
        <f t="shared" si="111"/>
        <v>3.5441439635645411</v>
      </c>
      <c r="P88" s="5">
        <f t="shared" si="112"/>
        <v>1.1757748163500561</v>
      </c>
      <c r="Q88" s="5">
        <f t="shared" si="113"/>
        <v>0.70846397064510291</v>
      </c>
      <c r="R88" s="5">
        <f t="shared" si="114"/>
        <v>2.1264863781387247</v>
      </c>
      <c r="S88" s="5">
        <f t="shared" si="115"/>
        <v>0.33316177236235517</v>
      </c>
      <c r="T88" s="117">
        <f t="shared" si="116"/>
        <v>0.99999999995637945</v>
      </c>
      <c r="U88" s="5">
        <f t="shared" si="117"/>
        <v>2.4312594747509029</v>
      </c>
      <c r="V88" s="39">
        <f t="shared" si="118"/>
        <v>1.4741608977684251E-2</v>
      </c>
      <c r="W88" s="46" t="str">
        <f t="shared" si="119"/>
        <v>Aceptable</v>
      </c>
      <c r="X88" s="5">
        <f t="shared" si="120"/>
        <v>0.30243298265896296</v>
      </c>
      <c r="Y88" s="5">
        <f t="shared" si="121"/>
        <v>0.30243298268534757</v>
      </c>
      <c r="Z88" s="5">
        <f t="shared" si="122"/>
        <v>-2.6384616713670539E-11</v>
      </c>
      <c r="AB88" s="120"/>
      <c r="AC88" s="120" t="str">
        <f t="shared" si="123"/>
        <v/>
      </c>
      <c r="AD88" s="120" t="str">
        <f t="shared" si="124"/>
        <v/>
      </c>
      <c r="AE88" s="120" t="str">
        <f t="shared" si="125"/>
        <v/>
      </c>
      <c r="AF88" s="120" t="str">
        <f t="shared" si="126"/>
        <v/>
      </c>
      <c r="AG88" s="120" t="str">
        <f t="shared" si="127"/>
        <v/>
      </c>
      <c r="AH88" s="120" t="str">
        <f t="shared" si="128"/>
        <v/>
      </c>
      <c r="AI88" s="120" t="str">
        <f t="shared" si="129"/>
        <v/>
      </c>
      <c r="AJ88" s="46" t="str">
        <f t="shared" si="130"/>
        <v/>
      </c>
      <c r="AK88" s="120" t="str">
        <f t="shared" si="131"/>
        <v/>
      </c>
      <c r="AL88" s="120" t="str">
        <f t="shared" si="132"/>
        <v/>
      </c>
      <c r="AM88" s="120" t="str">
        <f t="shared" si="133"/>
        <v/>
      </c>
      <c r="AN88" s="211">
        <v>6</v>
      </c>
      <c r="AP88" s="39">
        <f t="shared" si="86"/>
        <v>0.167433</v>
      </c>
      <c r="AQ88" s="39">
        <f t="shared" si="87"/>
        <v>0.53859500000000005</v>
      </c>
      <c r="AR88" s="39">
        <f t="shared" si="88"/>
        <v>-0.14937</v>
      </c>
      <c r="AS88" s="39">
        <f t="shared" si="89"/>
        <v>3.9154000000000001E-2</v>
      </c>
      <c r="AT88" s="39">
        <f t="shared" si="90"/>
        <v>-3.4399999999999999E-3</v>
      </c>
      <c r="AU88" s="39">
        <f t="shared" si="91"/>
        <v>1.16E-4</v>
      </c>
      <c r="AV88" s="39">
        <f t="shared" si="92"/>
        <v>1.0526110430739366</v>
      </c>
      <c r="AX88" s="157">
        <v>22.25</v>
      </c>
      <c r="AY88" s="120">
        <f t="shared" si="93"/>
        <v>1.1125</v>
      </c>
      <c r="AZ88" s="39">
        <f t="shared" si="94"/>
        <v>0.30127536358644424</v>
      </c>
      <c r="BA88" s="118">
        <f t="shared" si="95"/>
        <v>0.2</v>
      </c>
      <c r="BB88" s="39">
        <f t="shared" si="134"/>
        <v>6.0255072717288853E-2</v>
      </c>
      <c r="BC88" s="39">
        <f t="shared" si="96"/>
        <v>0.32800079975347463</v>
      </c>
      <c r="BD88" s="39">
        <f t="shared" si="97"/>
        <v>0.68953123605720767</v>
      </c>
      <c r="BE88" s="39">
        <f t="shared" si="98"/>
        <v>0.95997581868813442</v>
      </c>
      <c r="BF88" s="39">
        <f t="shared" si="99"/>
        <v>0.53700705474534205</v>
      </c>
      <c r="BG88" s="39">
        <f t="shared" si="135"/>
        <v>1.0526110430739366</v>
      </c>
      <c r="BH88" s="39">
        <f t="shared" si="136"/>
        <v>-4.9907464105052868E-2</v>
      </c>
      <c r="BI88" s="39">
        <f t="shared" si="137"/>
        <v>0.44750587895445171</v>
      </c>
      <c r="BK88" s="129" t="str">
        <f t="shared" si="138"/>
        <v>0</v>
      </c>
      <c r="BL88" s="120" t="str">
        <f t="shared" si="139"/>
        <v>0</v>
      </c>
      <c r="BM88" s="120" t="str">
        <f t="shared" si="140"/>
        <v>No válido</v>
      </c>
      <c r="BN88" s="36"/>
      <c r="BO88" s="129" t="str">
        <f t="shared" si="100"/>
        <v>1</v>
      </c>
      <c r="BP88" s="120" t="str">
        <f t="shared" si="141"/>
        <v>1</v>
      </c>
      <c r="BQ88" s="120" t="str">
        <f t="shared" si="101"/>
        <v>0</v>
      </c>
      <c r="BR88" s="120" t="str">
        <f t="shared" si="102"/>
        <v>No válido</v>
      </c>
      <c r="BT88" s="129" t="str">
        <f t="shared" si="142"/>
        <v>0</v>
      </c>
      <c r="BU88" s="120" t="str">
        <f t="shared" si="143"/>
        <v>1</v>
      </c>
      <c r="BV88" s="120" t="str">
        <f t="shared" si="144"/>
        <v>No válido</v>
      </c>
      <c r="BX88" s="129" t="str">
        <f t="shared" si="145"/>
        <v>1</v>
      </c>
      <c r="BY88" s="129" t="str">
        <f t="shared" si="103"/>
        <v>0</v>
      </c>
      <c r="BZ88" s="27" t="str">
        <f t="shared" si="104"/>
        <v>1</v>
      </c>
      <c r="CA88" s="120" t="str">
        <f t="shared" si="146"/>
        <v>No válido</v>
      </c>
      <c r="CC88" s="129" t="str">
        <f t="shared" si="147"/>
        <v>1</v>
      </c>
      <c r="CD88" s="129" t="str">
        <f t="shared" si="105"/>
        <v>1</v>
      </c>
      <c r="CE88" s="129" t="str">
        <f t="shared" si="106"/>
        <v>0</v>
      </c>
      <c r="CF88" s="120" t="str">
        <f t="shared" si="148"/>
        <v>No válido</v>
      </c>
    </row>
    <row r="89" spans="1:84" x14ac:dyDescent="0.25">
      <c r="A89" s="150" t="s">
        <v>80</v>
      </c>
      <c r="D89" s="120">
        <v>79</v>
      </c>
      <c r="E89" s="24">
        <f>'Cálculos - Distintas Ecuaciones'!F95</f>
        <v>22420</v>
      </c>
      <c r="F89" s="39">
        <f>'Cálculos - Distintas Ecuaciones'!Z95+Cunetas!J198+Cunetas!J199</f>
        <v>0.60276606650721398</v>
      </c>
      <c r="G89" s="50" t="str">
        <f t="shared" si="107"/>
        <v>1</v>
      </c>
      <c r="H89" s="120">
        <f t="shared" si="108"/>
        <v>2.4E-2</v>
      </c>
      <c r="I89" s="20">
        <v>0.05</v>
      </c>
      <c r="J89" s="45">
        <v>1.2</v>
      </c>
      <c r="K89" s="67" t="str">
        <f t="shared" si="110"/>
        <v>Circular</v>
      </c>
      <c r="L89" s="45"/>
      <c r="M89" s="45"/>
      <c r="N89" s="5">
        <v>0.41621954559897784</v>
      </c>
      <c r="O89" s="5">
        <f t="shared" si="111"/>
        <v>2.5189835240342462</v>
      </c>
      <c r="P89" s="5">
        <f t="shared" si="112"/>
        <v>1.1423217490359776</v>
      </c>
      <c r="Q89" s="5">
        <f t="shared" si="113"/>
        <v>0.34844882927116311</v>
      </c>
      <c r="R89" s="5">
        <f t="shared" si="114"/>
        <v>1.5113901144205477</v>
      </c>
      <c r="S89" s="5">
        <f t="shared" si="115"/>
        <v>0.23054856978785718</v>
      </c>
      <c r="T89" s="117">
        <f t="shared" si="116"/>
        <v>0.99999999929236449</v>
      </c>
      <c r="U89" s="5">
        <f t="shared" si="117"/>
        <v>1.7298553356255963</v>
      </c>
      <c r="V89" s="39">
        <f t="shared" si="118"/>
        <v>1.2192482599576528E-2</v>
      </c>
      <c r="W89" s="46" t="str">
        <f t="shared" si="119"/>
        <v>Aceptable</v>
      </c>
      <c r="X89" s="5">
        <f t="shared" si="120"/>
        <v>3.7036384396797052E-2</v>
      </c>
      <c r="Y89" s="5">
        <f t="shared" si="121"/>
        <v>3.7036384449213582E-2</v>
      </c>
      <c r="Z89" s="5">
        <f t="shared" si="122"/>
        <v>-5.2416529450205473E-11</v>
      </c>
      <c r="AB89" s="120"/>
      <c r="AC89" s="120" t="str">
        <f t="shared" si="123"/>
        <v/>
      </c>
      <c r="AD89" s="120" t="str">
        <f t="shared" si="124"/>
        <v/>
      </c>
      <c r="AE89" s="120" t="str">
        <f t="shared" si="125"/>
        <v/>
      </c>
      <c r="AF89" s="120" t="str">
        <f t="shared" si="126"/>
        <v/>
      </c>
      <c r="AG89" s="120" t="str">
        <f t="shared" si="127"/>
        <v/>
      </c>
      <c r="AH89" s="120" t="str">
        <f t="shared" si="128"/>
        <v/>
      </c>
      <c r="AI89" s="120" t="str">
        <f t="shared" si="129"/>
        <v/>
      </c>
      <c r="AJ89" s="46" t="str">
        <f t="shared" si="130"/>
        <v/>
      </c>
      <c r="AK89" s="120" t="str">
        <f t="shared" si="131"/>
        <v/>
      </c>
      <c r="AL89" s="120" t="str">
        <f t="shared" si="132"/>
        <v/>
      </c>
      <c r="AM89" s="120" t="str">
        <f t="shared" si="133"/>
        <v/>
      </c>
      <c r="AN89" s="211">
        <v>0</v>
      </c>
      <c r="AP89" s="39">
        <f t="shared" si="86"/>
        <v>0.167433</v>
      </c>
      <c r="AQ89" s="39">
        <f t="shared" si="87"/>
        <v>0.53859500000000005</v>
      </c>
      <c r="AR89" s="39">
        <f t="shared" si="88"/>
        <v>-0.14937</v>
      </c>
      <c r="AS89" s="39">
        <f t="shared" si="89"/>
        <v>3.9154000000000001E-2</v>
      </c>
      <c r="AT89" s="39">
        <f t="shared" si="90"/>
        <v>-3.4399999999999999E-3</v>
      </c>
      <c r="AU89" s="39">
        <f t="shared" si="91"/>
        <v>1.16E-4</v>
      </c>
      <c r="AV89" s="39">
        <f t="shared" si="92"/>
        <v>0.54704065792349432</v>
      </c>
      <c r="AX89" s="157">
        <v>30.5</v>
      </c>
      <c r="AY89" s="120">
        <f t="shared" si="93"/>
        <v>1.5250000000000001</v>
      </c>
      <c r="AZ89" s="39">
        <f t="shared" si="94"/>
        <v>0.15251781254802979</v>
      </c>
      <c r="BA89" s="118">
        <f t="shared" si="95"/>
        <v>0.2</v>
      </c>
      <c r="BB89" s="39">
        <f t="shared" si="134"/>
        <v>3.050356250960596E-2</v>
      </c>
      <c r="BC89" s="39">
        <f t="shared" si="96"/>
        <v>0.37187071928708421</v>
      </c>
      <c r="BD89" s="39">
        <f t="shared" si="97"/>
        <v>0.55489209434471998</v>
      </c>
      <c r="BE89" s="39">
        <f t="shared" si="98"/>
        <v>0.80810977279948892</v>
      </c>
      <c r="BF89" s="39">
        <f t="shared" si="99"/>
        <v>-0.16199813285579112</v>
      </c>
      <c r="BG89" s="39">
        <f t="shared" si="135"/>
        <v>0.54704065792349432</v>
      </c>
      <c r="BH89" s="39">
        <f t="shared" si="136"/>
        <v>-0.81496611839708821</v>
      </c>
      <c r="BI89" s="39">
        <f t="shared" si="137"/>
        <v>-0.13499844404649261</v>
      </c>
      <c r="BK89" s="129" t="str">
        <f t="shared" si="138"/>
        <v>0</v>
      </c>
      <c r="BL89" s="120" t="str">
        <f t="shared" si="139"/>
        <v>0</v>
      </c>
      <c r="BM89" s="120" t="str">
        <f t="shared" si="140"/>
        <v>No válido</v>
      </c>
      <c r="BN89" s="36"/>
      <c r="BO89" s="129" t="str">
        <f t="shared" si="100"/>
        <v>1</v>
      </c>
      <c r="BP89" s="120" t="str">
        <f t="shared" si="141"/>
        <v>1</v>
      </c>
      <c r="BQ89" s="120" t="str">
        <f t="shared" si="101"/>
        <v>0</v>
      </c>
      <c r="BR89" s="120" t="str">
        <f t="shared" si="102"/>
        <v>No válido</v>
      </c>
      <c r="BT89" s="129" t="str">
        <f t="shared" si="142"/>
        <v>0</v>
      </c>
      <c r="BU89" s="120" t="str">
        <f t="shared" si="143"/>
        <v>1</v>
      </c>
      <c r="BV89" s="120" t="str">
        <f t="shared" si="144"/>
        <v>No válido</v>
      </c>
      <c r="BX89" s="129" t="str">
        <f t="shared" si="145"/>
        <v>1</v>
      </c>
      <c r="BY89" s="129" t="str">
        <f t="shared" si="103"/>
        <v>0</v>
      </c>
      <c r="BZ89" s="27" t="str">
        <f t="shared" si="104"/>
        <v>1</v>
      </c>
      <c r="CA89" s="120" t="str">
        <f t="shared" si="146"/>
        <v>No válido</v>
      </c>
      <c r="CC89" s="129" t="str">
        <f t="shared" si="147"/>
        <v>1</v>
      </c>
      <c r="CD89" s="129" t="str">
        <f t="shared" si="105"/>
        <v>1</v>
      </c>
      <c r="CE89" s="129" t="str">
        <f t="shared" si="106"/>
        <v>0</v>
      </c>
      <c r="CF89" s="120" t="str">
        <f t="shared" si="148"/>
        <v>No válido</v>
      </c>
    </row>
    <row r="90" spans="1:84" x14ac:dyDescent="0.25">
      <c r="A90" s="150" t="s">
        <v>162</v>
      </c>
      <c r="B90" t="s">
        <v>305</v>
      </c>
      <c r="D90" s="120">
        <v>80</v>
      </c>
      <c r="E90" s="24">
        <f>'Cálculos - Distintas Ecuaciones'!F96</f>
        <v>22527.200000000001</v>
      </c>
      <c r="F90" s="39">
        <f>'Cálculos - Distintas Ecuaciones'!Z960+Cunetas!J200+Cunetas!J201</f>
        <v>1.003125770528223E-2</v>
      </c>
      <c r="G90" s="50" t="str">
        <f t="shared" si="107"/>
        <v>1</v>
      </c>
      <c r="H90" s="120">
        <f t="shared" si="108"/>
        <v>2.4E-2</v>
      </c>
      <c r="I90" s="20">
        <v>0.05</v>
      </c>
      <c r="J90" s="45">
        <v>1.2</v>
      </c>
      <c r="K90" s="67" t="str">
        <f t="shared" si="110"/>
        <v>Circular</v>
      </c>
      <c r="L90" s="45"/>
      <c r="M90" s="45"/>
      <c r="N90" s="5">
        <v>5.237039461230085E-2</v>
      </c>
      <c r="O90" s="5">
        <f t="shared" si="111"/>
        <v>0.84182729972269232</v>
      </c>
      <c r="P90" s="5">
        <f t="shared" si="112"/>
        <v>0.49031343160436835</v>
      </c>
      <c r="Q90" s="5">
        <f t="shared" si="113"/>
        <v>1.7273838417190181E-2</v>
      </c>
      <c r="R90" s="5">
        <f t="shared" si="114"/>
        <v>0.50509637983361533</v>
      </c>
      <c r="S90" s="5">
        <f t="shared" si="115"/>
        <v>3.4199093691545335E-2</v>
      </c>
      <c r="T90" s="117">
        <f t="shared" si="116"/>
        <v>0.98781246014272661</v>
      </c>
      <c r="U90" s="5">
        <f t="shared" si="117"/>
        <v>0.58071966768541461</v>
      </c>
      <c r="V90" s="39">
        <f t="shared" si="118"/>
        <v>1.7498577977978744E-2</v>
      </c>
      <c r="W90" s="46" t="str">
        <f t="shared" si="119"/>
        <v>Aceptable</v>
      </c>
      <c r="X90" s="5">
        <f t="shared" si="120"/>
        <v>1.0257505723729267E-5</v>
      </c>
      <c r="Y90" s="5">
        <f t="shared" si="121"/>
        <v>1.051217949854271E-5</v>
      </c>
      <c r="Z90" s="5">
        <f t="shared" si="122"/>
        <v>-2.5467377481344324E-7</v>
      </c>
      <c r="AB90" s="120"/>
      <c r="AC90" s="120" t="str">
        <f t="shared" si="123"/>
        <v/>
      </c>
      <c r="AD90" s="120" t="str">
        <f t="shared" si="124"/>
        <v/>
      </c>
      <c r="AE90" s="120" t="str">
        <f t="shared" si="125"/>
        <v/>
      </c>
      <c r="AF90" s="120" t="str">
        <f t="shared" si="126"/>
        <v/>
      </c>
      <c r="AG90" s="120" t="str">
        <f t="shared" si="127"/>
        <v/>
      </c>
      <c r="AH90" s="120" t="str">
        <f t="shared" si="128"/>
        <v/>
      </c>
      <c r="AI90" s="120" t="str">
        <f t="shared" si="129"/>
        <v/>
      </c>
      <c r="AJ90" s="46" t="str">
        <f t="shared" si="130"/>
        <v/>
      </c>
      <c r="AK90" s="120" t="str">
        <f t="shared" si="131"/>
        <v/>
      </c>
      <c r="AL90" s="120" t="str">
        <f t="shared" si="132"/>
        <v/>
      </c>
      <c r="AM90" s="120" t="str">
        <f t="shared" si="133"/>
        <v/>
      </c>
      <c r="AN90" s="211">
        <v>-3</v>
      </c>
      <c r="AP90" s="39">
        <f t="shared" si="86"/>
        <v>0.167433</v>
      </c>
      <c r="AQ90" s="39">
        <f t="shared" si="87"/>
        <v>0.53859500000000005</v>
      </c>
      <c r="AR90" s="39">
        <f t="shared" si="88"/>
        <v>-0.14937</v>
      </c>
      <c r="AS90" s="39">
        <f t="shared" si="89"/>
        <v>3.9154000000000001E-2</v>
      </c>
      <c r="AT90" s="39">
        <f t="shared" si="90"/>
        <v>-3.4399999999999999E-3</v>
      </c>
      <c r="AU90" s="39">
        <f t="shared" si="91"/>
        <v>1.16E-4</v>
      </c>
      <c r="AV90" s="39">
        <f t="shared" si="92"/>
        <v>0.1783404388518392</v>
      </c>
      <c r="AX90" s="157">
        <v>30.25</v>
      </c>
      <c r="AY90" s="120">
        <f t="shared" si="93"/>
        <v>1.5125000000000002</v>
      </c>
      <c r="AZ90" s="39">
        <f t="shared" si="94"/>
        <v>1.7188345180257816E-2</v>
      </c>
      <c r="BA90" s="118">
        <f t="shared" si="95"/>
        <v>0.2</v>
      </c>
      <c r="BB90" s="39">
        <f t="shared" si="134"/>
        <v>3.4376690360515636E-3</v>
      </c>
      <c r="BC90" s="39">
        <f t="shared" si="96"/>
        <v>0.52933198383385716</v>
      </c>
      <c r="BD90" s="39">
        <f t="shared" si="97"/>
        <v>0.54995799805016654</v>
      </c>
      <c r="BE90" s="39">
        <f t="shared" si="98"/>
        <v>0.62618519730615041</v>
      </c>
      <c r="BF90" s="39">
        <f t="shared" si="99"/>
        <v>-0.33635680464368312</v>
      </c>
      <c r="BG90" s="39">
        <f t="shared" si="135"/>
        <v>0.1783404388518392</v>
      </c>
      <c r="BH90" s="39">
        <f t="shared" si="136"/>
        <v>-1.1117996342901342</v>
      </c>
      <c r="BI90" s="39">
        <f t="shared" si="137"/>
        <v>-0.28029733720306926</v>
      </c>
      <c r="BK90" s="129" t="str">
        <f t="shared" si="138"/>
        <v>0</v>
      </c>
      <c r="BL90" s="120" t="str">
        <f t="shared" si="139"/>
        <v>0</v>
      </c>
      <c r="BM90" s="120" t="str">
        <f t="shared" si="140"/>
        <v>No válido</v>
      </c>
      <c r="BN90" s="36"/>
      <c r="BO90" s="129" t="str">
        <f t="shared" si="100"/>
        <v>1</v>
      </c>
      <c r="BP90" s="120" t="str">
        <f t="shared" si="141"/>
        <v>1</v>
      </c>
      <c r="BQ90" s="120" t="str">
        <f t="shared" si="101"/>
        <v>0</v>
      </c>
      <c r="BR90" s="120" t="str">
        <f t="shared" si="102"/>
        <v>No válido</v>
      </c>
      <c r="BT90" s="129" t="str">
        <f t="shared" si="142"/>
        <v>0</v>
      </c>
      <c r="BU90" s="120" t="str">
        <f t="shared" si="143"/>
        <v>1</v>
      </c>
      <c r="BV90" s="120" t="str">
        <f t="shared" si="144"/>
        <v>No válido</v>
      </c>
      <c r="BX90" s="129" t="str">
        <f t="shared" si="145"/>
        <v>1</v>
      </c>
      <c r="BY90" s="129" t="str">
        <f t="shared" si="103"/>
        <v>0</v>
      </c>
      <c r="BZ90" s="27" t="str">
        <f t="shared" si="104"/>
        <v>1</v>
      </c>
      <c r="CA90" s="120" t="str">
        <f t="shared" si="146"/>
        <v>No válido</v>
      </c>
      <c r="CC90" s="129" t="str">
        <f t="shared" si="147"/>
        <v>1</v>
      </c>
      <c r="CD90" s="129" t="str">
        <f t="shared" si="105"/>
        <v>1</v>
      </c>
      <c r="CE90" s="129" t="str">
        <f t="shared" si="106"/>
        <v>0</v>
      </c>
      <c r="CF90" s="120" t="str">
        <f t="shared" si="148"/>
        <v>No válido</v>
      </c>
    </row>
    <row r="91" spans="1:84" x14ac:dyDescent="0.25">
      <c r="A91" s="95" t="s">
        <v>79</v>
      </c>
      <c r="D91" s="120">
        <v>81</v>
      </c>
      <c r="E91" s="24">
        <f>'Cálculos - Distintas Ecuaciones'!F97</f>
        <v>22649.1</v>
      </c>
      <c r="F91" s="39">
        <f>'Cálculos - Distintas Ecuaciones'!Z97+Cunetas!J202</f>
        <v>3.2712055523235462</v>
      </c>
      <c r="G91" s="50" t="str">
        <f t="shared" si="107"/>
        <v>2</v>
      </c>
      <c r="H91" s="120">
        <f t="shared" si="108"/>
        <v>1.4E-2</v>
      </c>
      <c r="I91" s="20">
        <v>0.05</v>
      </c>
      <c r="J91" s="45">
        <v>1.8</v>
      </c>
      <c r="K91" s="67" t="str">
        <f t="shared" si="110"/>
        <v>Cajón</v>
      </c>
      <c r="L91" s="45">
        <v>1.2</v>
      </c>
      <c r="M91" s="45">
        <v>1.2</v>
      </c>
      <c r="N91" s="5">
        <v>0.93904321473672248</v>
      </c>
      <c r="O91" s="5" t="str">
        <f t="shared" si="111"/>
        <v/>
      </c>
      <c r="P91" s="5" t="str">
        <f t="shared" si="112"/>
        <v/>
      </c>
      <c r="Q91" s="5" t="str">
        <f t="shared" si="113"/>
        <v/>
      </c>
      <c r="R91" s="5" t="str">
        <f t="shared" si="114"/>
        <v/>
      </c>
      <c r="S91" s="5" t="str">
        <f t="shared" si="115"/>
        <v/>
      </c>
      <c r="T91" s="117" t="str">
        <f t="shared" si="116"/>
        <v/>
      </c>
      <c r="U91" s="5" t="str">
        <f t="shared" si="117"/>
        <v/>
      </c>
      <c r="V91" s="39" t="str">
        <f t="shared" si="118"/>
        <v/>
      </c>
      <c r="W91" s="46" t="str">
        <f t="shared" si="119"/>
        <v/>
      </c>
      <c r="X91" s="5" t="str">
        <f t="shared" si="120"/>
        <v/>
      </c>
      <c r="Y91" s="5" t="str">
        <f t="shared" si="121"/>
        <v/>
      </c>
      <c r="Z91" s="5" t="str">
        <f t="shared" si="122"/>
        <v/>
      </c>
      <c r="AB91" s="5">
        <v>0.91157979749508611</v>
      </c>
      <c r="AC91" s="5">
        <f t="shared" si="123"/>
        <v>1.2</v>
      </c>
      <c r="AD91" s="5">
        <f t="shared" si="124"/>
        <v>1.0938957569941032</v>
      </c>
      <c r="AE91" s="5">
        <f t="shared" si="125"/>
        <v>3.0231595949901724</v>
      </c>
      <c r="AF91" s="5">
        <f t="shared" si="126"/>
        <v>0.36183857405571712</v>
      </c>
      <c r="AG91" s="5">
        <f t="shared" si="127"/>
        <v>1.0000001089880632</v>
      </c>
      <c r="AH91" s="5">
        <f t="shared" si="128"/>
        <v>2.9904179913015057</v>
      </c>
      <c r="AI91" s="5">
        <f t="shared" si="129"/>
        <v>6.7977738791349515E-3</v>
      </c>
      <c r="AJ91" s="117" t="str">
        <f t="shared" si="130"/>
        <v>Aceptable</v>
      </c>
      <c r="AK91" s="5">
        <f t="shared" si="131"/>
        <v>0.75750250828498056</v>
      </c>
      <c r="AL91" s="5">
        <f t="shared" si="132"/>
        <v>0.75750267340245192</v>
      </c>
      <c r="AM91" s="5">
        <f t="shared" si="133"/>
        <v>-1.6511747136238597E-7</v>
      </c>
      <c r="AN91" s="211">
        <v>-11</v>
      </c>
      <c r="AP91" s="39">
        <f t="shared" si="86"/>
        <v>7.2493000000000002E-2</v>
      </c>
      <c r="AQ91" s="39">
        <f t="shared" si="87"/>
        <v>0.50708699999999995</v>
      </c>
      <c r="AR91" s="39">
        <f t="shared" si="88"/>
        <v>-0.11747</v>
      </c>
      <c r="AS91" s="39">
        <f t="shared" si="89"/>
        <v>2.2169999999999999E-2</v>
      </c>
      <c r="AT91" s="39">
        <f t="shared" si="90"/>
        <v>-1.49E-3</v>
      </c>
      <c r="AU91" s="39">
        <f t="shared" si="91"/>
        <v>3.8000000000000002E-5</v>
      </c>
      <c r="AV91" s="39">
        <f t="shared" si="92"/>
        <v>1.4418686472977367</v>
      </c>
      <c r="AX91" s="157">
        <v>17.05</v>
      </c>
      <c r="AY91" s="120">
        <f t="shared" si="93"/>
        <v>0.85250000000000004</v>
      </c>
      <c r="AZ91" s="39">
        <f t="shared" si="94"/>
        <v>0.455789998098865</v>
      </c>
      <c r="BA91" s="118">
        <f t="shared" si="95"/>
        <v>0.5</v>
      </c>
      <c r="BB91" s="39">
        <f t="shared" si="134"/>
        <v>0.2278949990494325</v>
      </c>
      <c r="BC91" s="39">
        <f t="shared" si="96"/>
        <v>0.11590204463925091</v>
      </c>
      <c r="BD91" s="39">
        <f t="shared" si="97"/>
        <v>0.79958704178754836</v>
      </c>
      <c r="BE91" s="39">
        <f t="shared" si="98"/>
        <v>1.0557898987475429</v>
      </c>
      <c r="BF91" s="39">
        <f t="shared" si="99"/>
        <v>1.0028769405350912</v>
      </c>
      <c r="BG91" s="39">
        <f t="shared" si="135"/>
        <v>1.4418686472977367</v>
      </c>
      <c r="BH91" s="39">
        <f t="shared" si="136"/>
        <v>0.49114053941478053</v>
      </c>
      <c r="BI91" s="39">
        <f t="shared" si="137"/>
        <v>0.8357307837792427</v>
      </c>
      <c r="BK91" s="129" t="str">
        <f t="shared" si="138"/>
        <v>0</v>
      </c>
      <c r="BL91" s="120" t="str">
        <f t="shared" si="139"/>
        <v>0</v>
      </c>
      <c r="BM91" s="120" t="str">
        <f t="shared" si="140"/>
        <v>No válido</v>
      </c>
      <c r="BN91" s="36"/>
      <c r="BO91" s="129" t="str">
        <f t="shared" si="100"/>
        <v>1</v>
      </c>
      <c r="BP91" s="120" t="str">
        <f t="shared" si="141"/>
        <v>0</v>
      </c>
      <c r="BQ91" s="120" t="str">
        <f t="shared" si="101"/>
        <v>0</v>
      </c>
      <c r="BR91" s="120" t="str">
        <f t="shared" si="102"/>
        <v>No válido</v>
      </c>
      <c r="BT91" s="129" t="str">
        <f t="shared" si="142"/>
        <v>0</v>
      </c>
      <c r="BU91" s="120" t="str">
        <f t="shared" si="143"/>
        <v>1</v>
      </c>
      <c r="BV91" s="120" t="str">
        <f t="shared" si="144"/>
        <v>No válido</v>
      </c>
      <c r="BX91" s="129" t="str">
        <f t="shared" si="145"/>
        <v>1</v>
      </c>
      <c r="BY91" s="129" t="str">
        <f t="shared" si="103"/>
        <v>0</v>
      </c>
      <c r="BZ91" s="27" t="str">
        <f t="shared" si="104"/>
        <v>1</v>
      </c>
      <c r="CA91" s="120" t="str">
        <f t="shared" si="146"/>
        <v>No válido</v>
      </c>
      <c r="CC91" s="129" t="str">
        <f t="shared" si="147"/>
        <v>1</v>
      </c>
      <c r="CD91" s="129" t="str">
        <f t="shared" si="105"/>
        <v>1</v>
      </c>
      <c r="CE91" s="129" t="str">
        <f t="shared" si="106"/>
        <v>0</v>
      </c>
      <c r="CF91" s="120" t="str">
        <f t="shared" si="148"/>
        <v>No válido</v>
      </c>
    </row>
    <row r="92" spans="1:84" x14ac:dyDescent="0.25">
      <c r="A92" s="150" t="s">
        <v>162</v>
      </c>
      <c r="B92" t="s">
        <v>305</v>
      </c>
      <c r="D92" s="120">
        <v>82</v>
      </c>
      <c r="E92" s="24">
        <f>'Cálculos - Distintas Ecuaciones'!F98</f>
        <v>22730</v>
      </c>
      <c r="F92" s="39">
        <f>'Cálculos - Distintas Ecuaciones'!Z98+Cunetas!J203</f>
        <v>2.355949003685136</v>
      </c>
      <c r="G92" s="50" t="str">
        <f t="shared" si="107"/>
        <v>1</v>
      </c>
      <c r="H92" s="120">
        <f t="shared" si="108"/>
        <v>2.4E-2</v>
      </c>
      <c r="I92" s="20">
        <v>0.05</v>
      </c>
      <c r="J92" s="45">
        <v>1.4</v>
      </c>
      <c r="K92" s="67" t="str">
        <f t="shared" si="110"/>
        <v>Circular</v>
      </c>
      <c r="L92" s="45"/>
      <c r="M92" s="45"/>
      <c r="N92" s="5">
        <v>0.80886982238242189</v>
      </c>
      <c r="O92" s="5">
        <f t="shared" si="111"/>
        <v>3.4539171668008719</v>
      </c>
      <c r="P92" s="5">
        <f t="shared" si="112"/>
        <v>1.3829640078822296</v>
      </c>
      <c r="Q92" s="5">
        <f t="shared" si="113"/>
        <v>0.92149122881592394</v>
      </c>
      <c r="R92" s="5">
        <f t="shared" si="114"/>
        <v>2.4177420167606103</v>
      </c>
      <c r="S92" s="5">
        <f t="shared" si="115"/>
        <v>0.38113711985308324</v>
      </c>
      <c r="T92" s="117">
        <f t="shared" si="116"/>
        <v>1.0000000277501009</v>
      </c>
      <c r="U92" s="5">
        <f t="shared" si="117"/>
        <v>2.5566700257282187</v>
      </c>
      <c r="V92" s="39">
        <f t="shared" si="118"/>
        <v>1.362480136128881E-2</v>
      </c>
      <c r="W92" s="46" t="str">
        <f t="shared" si="119"/>
        <v>Aceptable</v>
      </c>
      <c r="X92" s="5">
        <f t="shared" si="120"/>
        <v>0.5657997663572869</v>
      </c>
      <c r="Y92" s="5">
        <f t="shared" si="121"/>
        <v>0.5657997349552869</v>
      </c>
      <c r="Z92" s="5">
        <f t="shared" si="122"/>
        <v>3.1402000000291252E-8</v>
      </c>
      <c r="AB92" s="120"/>
      <c r="AC92" s="120" t="str">
        <f t="shared" si="123"/>
        <v/>
      </c>
      <c r="AD92" s="120" t="str">
        <f t="shared" si="124"/>
        <v/>
      </c>
      <c r="AE92" s="120" t="str">
        <f t="shared" si="125"/>
        <v/>
      </c>
      <c r="AF92" s="120" t="str">
        <f t="shared" si="126"/>
        <v/>
      </c>
      <c r="AG92" s="120" t="str">
        <f t="shared" si="127"/>
        <v/>
      </c>
      <c r="AH92" s="120" t="str">
        <f t="shared" si="128"/>
        <v/>
      </c>
      <c r="AI92" s="120" t="str">
        <f t="shared" si="129"/>
        <v/>
      </c>
      <c r="AJ92" s="46" t="str">
        <f t="shared" si="130"/>
        <v/>
      </c>
      <c r="AK92" s="120" t="str">
        <f t="shared" si="131"/>
        <v/>
      </c>
      <c r="AL92" s="120" t="str">
        <f t="shared" si="132"/>
        <v/>
      </c>
      <c r="AM92" s="120" t="str">
        <f t="shared" si="133"/>
        <v/>
      </c>
      <c r="AN92" s="211">
        <v>0</v>
      </c>
      <c r="AP92" s="39">
        <f t="shared" si="86"/>
        <v>0.167433</v>
      </c>
      <c r="AQ92" s="39">
        <f t="shared" si="87"/>
        <v>0.53859500000000005</v>
      </c>
      <c r="AR92" s="39">
        <f t="shared" si="88"/>
        <v>-0.14937</v>
      </c>
      <c r="AS92" s="39">
        <f t="shared" si="89"/>
        <v>3.9154000000000001E-2</v>
      </c>
      <c r="AT92" s="39">
        <f t="shared" si="90"/>
        <v>-3.4399999999999999E-3</v>
      </c>
      <c r="AU92" s="39">
        <f t="shared" si="91"/>
        <v>1.16E-4</v>
      </c>
      <c r="AV92" s="39">
        <f t="shared" si="92"/>
        <v>1.1685711372241334</v>
      </c>
      <c r="AX92" s="157">
        <v>21.5</v>
      </c>
      <c r="AY92" s="120">
        <f t="shared" si="93"/>
        <v>1.075</v>
      </c>
      <c r="AZ92" s="39">
        <f t="shared" si="94"/>
        <v>0.33315808463084251</v>
      </c>
      <c r="BA92" s="118">
        <f t="shared" si="95"/>
        <v>0.2</v>
      </c>
      <c r="BB92" s="39">
        <f t="shared" si="134"/>
        <v>6.6631616926168508E-2</v>
      </c>
      <c r="BC92" s="39">
        <f t="shared" si="96"/>
        <v>0.29293322926770943</v>
      </c>
      <c r="BD92" s="39">
        <f t="shared" si="97"/>
        <v>0.69272293082472047</v>
      </c>
      <c r="BE92" s="39">
        <f t="shared" si="98"/>
        <v>1.1044349111912108</v>
      </c>
      <c r="BF92" s="39">
        <f t="shared" si="99"/>
        <v>0.72215784201593136</v>
      </c>
      <c r="BG92" s="39">
        <f t="shared" si="135"/>
        <v>1.1685711372241334</v>
      </c>
      <c r="BH92" s="39">
        <f t="shared" si="136"/>
        <v>6.6836526588666761E-2</v>
      </c>
      <c r="BI92" s="39">
        <f t="shared" si="137"/>
        <v>0.51582703001137953</v>
      </c>
      <c r="BK92" s="129" t="str">
        <f t="shared" si="138"/>
        <v>0</v>
      </c>
      <c r="BL92" s="120" t="str">
        <f t="shared" si="139"/>
        <v>0</v>
      </c>
      <c r="BM92" s="120" t="str">
        <f t="shared" si="140"/>
        <v>No válido</v>
      </c>
      <c r="BN92" s="36"/>
      <c r="BO92" s="129" t="str">
        <f t="shared" si="100"/>
        <v>1</v>
      </c>
      <c r="BP92" s="120" t="str">
        <f t="shared" si="141"/>
        <v>1</v>
      </c>
      <c r="BQ92" s="120" t="str">
        <f t="shared" si="101"/>
        <v>0</v>
      </c>
      <c r="BR92" s="120" t="str">
        <f t="shared" si="102"/>
        <v>No válido</v>
      </c>
      <c r="BT92" s="129" t="str">
        <f t="shared" si="142"/>
        <v>0</v>
      </c>
      <c r="BU92" s="120" t="str">
        <f t="shared" si="143"/>
        <v>1</v>
      </c>
      <c r="BV92" s="120" t="str">
        <f t="shared" si="144"/>
        <v>No válido</v>
      </c>
      <c r="BX92" s="129" t="str">
        <f t="shared" si="145"/>
        <v>1</v>
      </c>
      <c r="BY92" s="129" t="str">
        <f t="shared" si="103"/>
        <v>0</v>
      </c>
      <c r="BZ92" s="27" t="str">
        <f t="shared" si="104"/>
        <v>1</v>
      </c>
      <c r="CA92" s="120" t="str">
        <f t="shared" si="146"/>
        <v>No válido</v>
      </c>
      <c r="CC92" s="129" t="str">
        <f t="shared" si="147"/>
        <v>1</v>
      </c>
      <c r="CD92" s="129" t="str">
        <f t="shared" si="105"/>
        <v>1</v>
      </c>
      <c r="CE92" s="129" t="str">
        <f t="shared" si="106"/>
        <v>0</v>
      </c>
      <c r="CF92" s="120" t="str">
        <f t="shared" si="148"/>
        <v>No válido</v>
      </c>
    </row>
    <row r="93" spans="1:84" x14ac:dyDescent="0.25">
      <c r="A93" s="150" t="s">
        <v>80</v>
      </c>
      <c r="D93" s="120">
        <v>83</v>
      </c>
      <c r="E93" s="24">
        <f>'Cálculos - Distintas Ecuaciones'!F99</f>
        <v>23131.9</v>
      </c>
      <c r="F93" s="39">
        <f>'Cálculos - Distintas Ecuaciones'!Z99+Cunetas!J204+Cunetas!J205+Cunetas!J206</f>
        <v>0.31663760529879048</v>
      </c>
      <c r="G93" s="50" t="str">
        <f t="shared" si="107"/>
        <v>1</v>
      </c>
      <c r="H93" s="120">
        <f t="shared" si="108"/>
        <v>2.4E-2</v>
      </c>
      <c r="I93" s="20">
        <v>0.05</v>
      </c>
      <c r="J93" s="45">
        <v>1.2</v>
      </c>
      <c r="K93" s="67" t="str">
        <f t="shared" si="110"/>
        <v>Circular</v>
      </c>
      <c r="L93" s="45"/>
      <c r="M93" s="45"/>
      <c r="N93" s="5">
        <v>0.29864934647370872</v>
      </c>
      <c r="O93" s="5">
        <f t="shared" si="111"/>
        <v>2.0891925219190748</v>
      </c>
      <c r="P93" s="5">
        <f t="shared" si="112"/>
        <v>1.0376661960751676</v>
      </c>
      <c r="Q93" s="5">
        <f t="shared" si="113"/>
        <v>0.2197039607807372</v>
      </c>
      <c r="R93" s="5">
        <f t="shared" si="114"/>
        <v>1.2535155131514448</v>
      </c>
      <c r="S93" s="5">
        <f t="shared" si="115"/>
        <v>0.17527023676666173</v>
      </c>
      <c r="T93" s="117">
        <f t="shared" si="116"/>
        <v>0.99999998527682066</v>
      </c>
      <c r="U93" s="5">
        <f t="shared" si="117"/>
        <v>1.4412011698541578</v>
      </c>
      <c r="V93" s="39">
        <f t="shared" si="118"/>
        <v>1.2197218325650886E-2</v>
      </c>
      <c r="W93" s="46" t="str">
        <f t="shared" si="119"/>
        <v>Aceptable</v>
      </c>
      <c r="X93" s="5">
        <f t="shared" si="120"/>
        <v>1.0220119580973765E-2</v>
      </c>
      <c r="Y93" s="5">
        <f t="shared" si="121"/>
        <v>1.0220119881919077E-2</v>
      </c>
      <c r="Z93" s="5">
        <f t="shared" si="122"/>
        <v>-3.0094531207336406E-10</v>
      </c>
      <c r="AB93" s="120"/>
      <c r="AC93" s="120" t="str">
        <f t="shared" si="123"/>
        <v/>
      </c>
      <c r="AD93" s="120" t="str">
        <f t="shared" si="124"/>
        <v/>
      </c>
      <c r="AE93" s="120" t="str">
        <f t="shared" si="125"/>
        <v/>
      </c>
      <c r="AF93" s="120" t="str">
        <f t="shared" si="126"/>
        <v/>
      </c>
      <c r="AG93" s="120" t="str">
        <f t="shared" si="127"/>
        <v/>
      </c>
      <c r="AH93" s="120" t="str">
        <f t="shared" si="128"/>
        <v/>
      </c>
      <c r="AI93" s="120" t="str">
        <f t="shared" si="129"/>
        <v/>
      </c>
      <c r="AJ93" s="46" t="str">
        <f t="shared" si="130"/>
        <v/>
      </c>
      <c r="AK93" s="120" t="str">
        <f t="shared" si="131"/>
        <v/>
      </c>
      <c r="AL93" s="120" t="str">
        <f t="shared" si="132"/>
        <v/>
      </c>
      <c r="AM93" s="120" t="str">
        <f t="shared" si="133"/>
        <v/>
      </c>
      <c r="AN93" s="211">
        <v>26</v>
      </c>
      <c r="AP93" s="39">
        <f t="shared" si="86"/>
        <v>0.167433</v>
      </c>
      <c r="AQ93" s="39">
        <f t="shared" si="87"/>
        <v>0.53859500000000005</v>
      </c>
      <c r="AR93" s="39">
        <f t="shared" si="88"/>
        <v>-0.14937</v>
      </c>
      <c r="AS93" s="39">
        <f t="shared" si="89"/>
        <v>3.9154000000000001E-2</v>
      </c>
      <c r="AT93" s="39">
        <f t="shared" si="90"/>
        <v>-3.4399999999999999E-3</v>
      </c>
      <c r="AU93" s="39">
        <f t="shared" si="91"/>
        <v>1.16E-4</v>
      </c>
      <c r="AV93" s="39">
        <f t="shared" si="92"/>
        <v>0.38439988308487372</v>
      </c>
      <c r="AX93" s="157">
        <v>12.95</v>
      </c>
      <c r="AY93" s="120">
        <f t="shared" si="93"/>
        <v>0.64749999999999996</v>
      </c>
      <c r="AZ93" s="39">
        <f t="shared" si="94"/>
        <v>0.10586446544286406</v>
      </c>
      <c r="BA93" s="118">
        <f t="shared" si="95"/>
        <v>0.2</v>
      </c>
      <c r="BB93" s="39">
        <f t="shared" si="134"/>
        <v>2.1172893088572814E-2</v>
      </c>
      <c r="BC93" s="39">
        <f t="shared" si="96"/>
        <v>0.15795397731717895</v>
      </c>
      <c r="BD93" s="39">
        <f t="shared" si="97"/>
        <v>0.2849913358486158</v>
      </c>
      <c r="BE93" s="39">
        <f t="shared" si="98"/>
        <v>0.74932467323685437</v>
      </c>
      <c r="BF93" s="39">
        <f t="shared" si="99"/>
        <v>0.3868160090854702</v>
      </c>
      <c r="BG93" s="39">
        <f t="shared" si="135"/>
        <v>0.3868160090854702</v>
      </c>
      <c r="BH93" s="39">
        <f t="shared" si="136"/>
        <v>-0.21723665909544149</v>
      </c>
      <c r="BI93" s="39">
        <f t="shared" si="137"/>
        <v>0.32234667423789187</v>
      </c>
      <c r="BK93" s="129" t="str">
        <f t="shared" si="138"/>
        <v>0</v>
      </c>
      <c r="BL93" s="120" t="str">
        <f t="shared" si="139"/>
        <v>0</v>
      </c>
      <c r="BM93" s="120" t="str">
        <f t="shared" si="140"/>
        <v>No válido</v>
      </c>
      <c r="BN93" s="36"/>
      <c r="BO93" s="129" t="str">
        <f t="shared" si="100"/>
        <v>1</v>
      </c>
      <c r="BP93" s="120" t="str">
        <f t="shared" si="141"/>
        <v>0</v>
      </c>
      <c r="BQ93" s="120" t="str">
        <f t="shared" si="101"/>
        <v>0</v>
      </c>
      <c r="BR93" s="120" t="str">
        <f t="shared" si="102"/>
        <v>No válido</v>
      </c>
      <c r="BT93" s="129" t="str">
        <f t="shared" si="142"/>
        <v>0</v>
      </c>
      <c r="BU93" s="120" t="str">
        <f t="shared" si="143"/>
        <v>1</v>
      </c>
      <c r="BV93" s="120" t="str">
        <f t="shared" si="144"/>
        <v>No válido</v>
      </c>
      <c r="BX93" s="129" t="str">
        <f t="shared" si="145"/>
        <v>1</v>
      </c>
      <c r="BY93" s="129" t="str">
        <f t="shared" si="103"/>
        <v>0</v>
      </c>
      <c r="BZ93" s="27" t="str">
        <f t="shared" si="104"/>
        <v>1</v>
      </c>
      <c r="CA93" s="120" t="str">
        <f t="shared" si="146"/>
        <v>No válido</v>
      </c>
      <c r="CC93" s="129" t="str">
        <f t="shared" si="147"/>
        <v>1</v>
      </c>
      <c r="CD93" s="129" t="str">
        <f t="shared" si="105"/>
        <v>1</v>
      </c>
      <c r="CE93" s="129" t="str">
        <f t="shared" si="106"/>
        <v>0</v>
      </c>
      <c r="CF93" s="120" t="str">
        <f t="shared" si="148"/>
        <v>No válido</v>
      </c>
    </row>
    <row r="94" spans="1:84" x14ac:dyDescent="0.25">
      <c r="A94" s="150" t="s">
        <v>80</v>
      </c>
      <c r="D94" s="120">
        <v>84</v>
      </c>
      <c r="E94" s="24">
        <f>'Cálculos - Distintas Ecuaciones'!F100</f>
        <v>23206.7</v>
      </c>
      <c r="F94" s="39">
        <f>'Cálculos - Distintas Ecuaciones'!Z100+Cunetas!J207</f>
        <v>0.29644936677366279</v>
      </c>
      <c r="G94" s="50" t="str">
        <f t="shared" si="107"/>
        <v>1</v>
      </c>
      <c r="H94" s="120">
        <f t="shared" si="108"/>
        <v>2.4E-2</v>
      </c>
      <c r="I94" s="20">
        <v>0.05</v>
      </c>
      <c r="J94" s="45">
        <v>1.2</v>
      </c>
      <c r="K94" s="67" t="str">
        <f t="shared" si="110"/>
        <v>Circular</v>
      </c>
      <c r="L94" s="45"/>
      <c r="M94" s="45"/>
      <c r="N94" s="5">
        <v>0.28872528775382944</v>
      </c>
      <c r="O94" s="5">
        <f t="shared" si="111"/>
        <v>2.0507199275173309</v>
      </c>
      <c r="P94" s="5">
        <f t="shared" si="112"/>
        <v>1.0258811890585844</v>
      </c>
      <c r="Q94" s="5">
        <f t="shared" si="113"/>
        <v>0.20946415099163448</v>
      </c>
      <c r="R94" s="5">
        <f t="shared" si="114"/>
        <v>1.2304319565103985</v>
      </c>
      <c r="S94" s="5">
        <f t="shared" si="115"/>
        <v>0.17023627343497419</v>
      </c>
      <c r="T94" s="117">
        <f t="shared" si="116"/>
        <v>0.99999999517294336</v>
      </c>
      <c r="U94" s="5">
        <f t="shared" si="117"/>
        <v>1.415274954545813</v>
      </c>
      <c r="V94" s="39">
        <f t="shared" si="118"/>
        <v>1.2228353573287064E-2</v>
      </c>
      <c r="W94" s="46" t="str">
        <f t="shared" si="119"/>
        <v>Aceptable</v>
      </c>
      <c r="X94" s="5">
        <f t="shared" si="120"/>
        <v>8.9584329317538881E-3</v>
      </c>
      <c r="Y94" s="5">
        <f t="shared" si="121"/>
        <v>8.9584330182396147E-3</v>
      </c>
      <c r="Z94" s="5">
        <f t="shared" si="122"/>
        <v>-8.6485726566443155E-11</v>
      </c>
      <c r="AB94" s="120"/>
      <c r="AC94" s="120" t="str">
        <f t="shared" si="123"/>
        <v/>
      </c>
      <c r="AD94" s="120" t="str">
        <f t="shared" si="124"/>
        <v/>
      </c>
      <c r="AE94" s="120" t="str">
        <f t="shared" si="125"/>
        <v/>
      </c>
      <c r="AF94" s="120" t="str">
        <f t="shared" si="126"/>
        <v/>
      </c>
      <c r="AG94" s="120" t="str">
        <f t="shared" si="127"/>
        <v/>
      </c>
      <c r="AH94" s="120" t="str">
        <f t="shared" si="128"/>
        <v/>
      </c>
      <c r="AI94" s="120" t="str">
        <f t="shared" si="129"/>
        <v/>
      </c>
      <c r="AJ94" s="46" t="str">
        <f t="shared" si="130"/>
        <v/>
      </c>
      <c r="AK94" s="120" t="str">
        <f t="shared" si="131"/>
        <v/>
      </c>
      <c r="AL94" s="120" t="str">
        <f t="shared" si="132"/>
        <v/>
      </c>
      <c r="AM94" s="120" t="str">
        <f t="shared" si="133"/>
        <v/>
      </c>
      <c r="AN94" s="211">
        <v>-11</v>
      </c>
      <c r="AP94" s="39">
        <f t="shared" si="86"/>
        <v>0.167433</v>
      </c>
      <c r="AQ94" s="39">
        <f t="shared" si="87"/>
        <v>0.53859500000000005</v>
      </c>
      <c r="AR94" s="39">
        <f t="shared" si="88"/>
        <v>-0.14937</v>
      </c>
      <c r="AS94" s="39">
        <f t="shared" si="89"/>
        <v>3.9154000000000001E-2</v>
      </c>
      <c r="AT94" s="39">
        <f t="shared" si="90"/>
        <v>-3.4399999999999999E-3</v>
      </c>
      <c r="AU94" s="39">
        <f t="shared" si="91"/>
        <v>1.16E-4</v>
      </c>
      <c r="AV94" s="39">
        <f t="shared" si="92"/>
        <v>0.37195408478858344</v>
      </c>
      <c r="AX94" s="157">
        <v>19.2</v>
      </c>
      <c r="AY94" s="120">
        <f t="shared" si="93"/>
        <v>0.96</v>
      </c>
      <c r="AZ94" s="39">
        <f t="shared" si="94"/>
        <v>0.10208986732745429</v>
      </c>
      <c r="BA94" s="118">
        <f t="shared" si="95"/>
        <v>0.2</v>
      </c>
      <c r="BB94" s="39">
        <f t="shared" si="134"/>
        <v>2.041797346549086E-2</v>
      </c>
      <c r="BC94" s="39">
        <f t="shared" si="96"/>
        <v>0.23478438860711162</v>
      </c>
      <c r="BD94" s="39">
        <f t="shared" si="97"/>
        <v>0.35729222940005678</v>
      </c>
      <c r="BE94" s="39">
        <f t="shared" si="98"/>
        <v>0.74436264387691464</v>
      </c>
      <c r="BF94" s="39">
        <f t="shared" si="99"/>
        <v>0.14165487327697157</v>
      </c>
      <c r="BG94" s="39">
        <f t="shared" si="135"/>
        <v>0.37195408478858344</v>
      </c>
      <c r="BH94" s="39">
        <f t="shared" si="136"/>
        <v>-0.4900382626761805</v>
      </c>
      <c r="BI94" s="39">
        <f t="shared" si="137"/>
        <v>0.11804572773080965</v>
      </c>
      <c r="BK94" s="129" t="str">
        <f t="shared" si="138"/>
        <v>0</v>
      </c>
      <c r="BL94" s="120" t="str">
        <f t="shared" si="139"/>
        <v>0</v>
      </c>
      <c r="BM94" s="120" t="str">
        <f t="shared" si="140"/>
        <v>No válido</v>
      </c>
      <c r="BN94" s="36"/>
      <c r="BO94" s="129" t="str">
        <f t="shared" si="100"/>
        <v>1</v>
      </c>
      <c r="BP94" s="120" t="str">
        <f t="shared" si="141"/>
        <v>1</v>
      </c>
      <c r="BQ94" s="120" t="str">
        <f t="shared" si="101"/>
        <v>0</v>
      </c>
      <c r="BR94" s="120" t="str">
        <f t="shared" si="102"/>
        <v>No válido</v>
      </c>
      <c r="BT94" s="129" t="str">
        <f t="shared" si="142"/>
        <v>0</v>
      </c>
      <c r="BU94" s="120" t="str">
        <f t="shared" si="143"/>
        <v>1</v>
      </c>
      <c r="BV94" s="120" t="str">
        <f t="shared" si="144"/>
        <v>No válido</v>
      </c>
      <c r="BX94" s="129" t="str">
        <f t="shared" si="145"/>
        <v>1</v>
      </c>
      <c r="BY94" s="129" t="str">
        <f t="shared" si="103"/>
        <v>0</v>
      </c>
      <c r="BZ94" s="27" t="str">
        <f t="shared" si="104"/>
        <v>1</v>
      </c>
      <c r="CA94" s="120" t="str">
        <f t="shared" si="146"/>
        <v>No válido</v>
      </c>
      <c r="CC94" s="129" t="str">
        <f t="shared" si="147"/>
        <v>1</v>
      </c>
      <c r="CD94" s="129" t="str">
        <f t="shared" si="105"/>
        <v>1</v>
      </c>
      <c r="CE94" s="129" t="str">
        <f t="shared" si="106"/>
        <v>0</v>
      </c>
      <c r="CF94" s="120" t="str">
        <f t="shared" si="148"/>
        <v>No válido</v>
      </c>
    </row>
    <row r="95" spans="1:84" x14ac:dyDescent="0.25">
      <c r="A95" s="150" t="s">
        <v>162</v>
      </c>
      <c r="B95" t="s">
        <v>305</v>
      </c>
      <c r="D95" s="120">
        <v>85</v>
      </c>
      <c r="E95" s="24">
        <f>'Cálculos - Distintas Ecuaciones'!F101</f>
        <v>23310.400000000001</v>
      </c>
      <c r="F95" s="39">
        <f>'Cálculos - Distintas Ecuaciones'!Z101+Cunetas!J208</f>
        <v>0.38598867237270323</v>
      </c>
      <c r="G95" s="50" t="str">
        <f t="shared" si="107"/>
        <v>1</v>
      </c>
      <c r="H95" s="120">
        <f t="shared" si="108"/>
        <v>2.4E-2</v>
      </c>
      <c r="I95" s="20">
        <f t="shared" si="109"/>
        <v>0.02</v>
      </c>
      <c r="J95" s="45">
        <v>1.2</v>
      </c>
      <c r="K95" s="67" t="str">
        <f t="shared" si="110"/>
        <v>Circular</v>
      </c>
      <c r="L95" s="45"/>
      <c r="M95" s="45"/>
      <c r="N95" s="5">
        <v>0.33064499761405103</v>
      </c>
      <c r="O95" s="5">
        <f t="shared" si="111"/>
        <v>2.2104687752292667</v>
      </c>
      <c r="P95" s="5">
        <f t="shared" si="112"/>
        <v>1.0722833257859889</v>
      </c>
      <c r="Q95" s="5">
        <f t="shared" si="113"/>
        <v>0.2534719406535188</v>
      </c>
      <c r="R95" s="5">
        <f t="shared" si="114"/>
        <v>1.32628126513756</v>
      </c>
      <c r="S95" s="5">
        <f t="shared" si="115"/>
        <v>0.1911147712904088</v>
      </c>
      <c r="T95" s="117">
        <f t="shared" si="116"/>
        <v>0.99999999391589489</v>
      </c>
      <c r="U95" s="5">
        <f t="shared" si="117"/>
        <v>1.5228063168551149</v>
      </c>
      <c r="V95" s="39">
        <f t="shared" si="118"/>
        <v>1.2133501534055091E-2</v>
      </c>
      <c r="W95" s="46" t="str">
        <f t="shared" si="119"/>
        <v>Aceptable</v>
      </c>
      <c r="X95" s="5">
        <f t="shared" si="120"/>
        <v>1.5187283914377372E-2</v>
      </c>
      <c r="Y95" s="5">
        <f t="shared" si="121"/>
        <v>1.5187284099179438E-2</v>
      </c>
      <c r="Z95" s="5">
        <f t="shared" si="122"/>
        <v>-1.8480206601112492E-10</v>
      </c>
      <c r="AB95" s="120"/>
      <c r="AC95" s="120" t="str">
        <f t="shared" si="123"/>
        <v/>
      </c>
      <c r="AD95" s="120" t="str">
        <f t="shared" si="124"/>
        <v/>
      </c>
      <c r="AE95" s="120" t="str">
        <f t="shared" si="125"/>
        <v/>
      </c>
      <c r="AF95" s="120" t="str">
        <f t="shared" si="126"/>
        <v/>
      </c>
      <c r="AG95" s="120" t="str">
        <f t="shared" si="127"/>
        <v/>
      </c>
      <c r="AH95" s="120" t="str">
        <f t="shared" si="128"/>
        <v/>
      </c>
      <c r="AI95" s="120" t="str">
        <f t="shared" si="129"/>
        <v/>
      </c>
      <c r="AJ95" s="46" t="str">
        <f t="shared" si="130"/>
        <v/>
      </c>
      <c r="AK95" s="120" t="str">
        <f t="shared" si="131"/>
        <v/>
      </c>
      <c r="AL95" s="120" t="str">
        <f t="shared" si="132"/>
        <v/>
      </c>
      <c r="AM95" s="120" t="str">
        <f t="shared" si="133"/>
        <v/>
      </c>
      <c r="AN95" s="211">
        <v>0</v>
      </c>
      <c r="AP95" s="39">
        <f t="shared" si="86"/>
        <v>0.167433</v>
      </c>
      <c r="AQ95" s="39">
        <f t="shared" si="87"/>
        <v>0.53859500000000005</v>
      </c>
      <c r="AR95" s="39">
        <f t="shared" si="88"/>
        <v>-0.14937</v>
      </c>
      <c r="AS95" s="39">
        <f t="shared" si="89"/>
        <v>3.9154000000000001E-2</v>
      </c>
      <c r="AT95" s="39">
        <f t="shared" si="90"/>
        <v>-3.4399999999999999E-3</v>
      </c>
      <c r="AU95" s="39">
        <f t="shared" si="91"/>
        <v>1.16E-4</v>
      </c>
      <c r="AV95" s="39">
        <f t="shared" si="92"/>
        <v>0.44409861266983303</v>
      </c>
      <c r="AX95" s="157">
        <v>11.2</v>
      </c>
      <c r="AY95" s="120">
        <f t="shared" si="93"/>
        <v>0.22399999999999998</v>
      </c>
      <c r="AZ95" s="39">
        <f t="shared" si="94"/>
        <v>0.1181926135909195</v>
      </c>
      <c r="BA95" s="118">
        <f t="shared" si="95"/>
        <v>0.2</v>
      </c>
      <c r="BB95" s="39">
        <f t="shared" si="134"/>
        <v>2.36385227181839E-2</v>
      </c>
      <c r="BC95" s="39">
        <f t="shared" si="96"/>
        <v>0.13589521718141701</v>
      </c>
      <c r="BD95" s="39">
        <f t="shared" si="97"/>
        <v>0.27772635349052044</v>
      </c>
      <c r="BE95" s="39">
        <f t="shared" si="98"/>
        <v>0.76532249880702552</v>
      </c>
      <c r="BF95" s="39">
        <f t="shared" si="99"/>
        <v>0.81904885229754609</v>
      </c>
      <c r="BG95" s="39">
        <f t="shared" si="135"/>
        <v>0.81904885229754609</v>
      </c>
      <c r="BH95" s="39">
        <f t="shared" si="136"/>
        <v>0.49587404358128845</v>
      </c>
      <c r="BI95" s="39">
        <f t="shared" si="137"/>
        <v>0.68254071024795515</v>
      </c>
      <c r="BK95" s="129" t="str">
        <f t="shared" si="138"/>
        <v>0</v>
      </c>
      <c r="BL95" s="120" t="str">
        <f t="shared" si="139"/>
        <v>0</v>
      </c>
      <c r="BM95" s="120" t="str">
        <f t="shared" si="140"/>
        <v>No válido</v>
      </c>
      <c r="BN95" s="36"/>
      <c r="BO95" s="129" t="str">
        <f t="shared" si="100"/>
        <v>1</v>
      </c>
      <c r="BP95" s="120" t="str">
        <f t="shared" si="141"/>
        <v>0</v>
      </c>
      <c r="BQ95" s="120" t="str">
        <f t="shared" si="101"/>
        <v>0</v>
      </c>
      <c r="BR95" s="120" t="str">
        <f t="shared" si="102"/>
        <v>No válido</v>
      </c>
      <c r="BT95" s="129" t="str">
        <f t="shared" si="142"/>
        <v>0</v>
      </c>
      <c r="BU95" s="120" t="str">
        <f t="shared" si="143"/>
        <v>1</v>
      </c>
      <c r="BV95" s="120" t="str">
        <f t="shared" si="144"/>
        <v>No válido</v>
      </c>
      <c r="BX95" s="129" t="str">
        <f t="shared" si="145"/>
        <v>1</v>
      </c>
      <c r="BY95" s="129" t="str">
        <f t="shared" si="103"/>
        <v>0</v>
      </c>
      <c r="BZ95" s="27" t="str">
        <f t="shared" si="104"/>
        <v>1</v>
      </c>
      <c r="CA95" s="120" t="str">
        <f t="shared" si="146"/>
        <v>No válido</v>
      </c>
      <c r="CC95" s="129" t="str">
        <f t="shared" si="147"/>
        <v>1</v>
      </c>
      <c r="CD95" s="129" t="str">
        <f t="shared" si="105"/>
        <v>1</v>
      </c>
      <c r="CE95" s="129" t="str">
        <f t="shared" si="106"/>
        <v>0</v>
      </c>
      <c r="CF95" s="120" t="str">
        <f t="shared" si="148"/>
        <v>No válido</v>
      </c>
    </row>
    <row r="96" spans="1:84" x14ac:dyDescent="0.25">
      <c r="A96" s="150" t="s">
        <v>80</v>
      </c>
      <c r="D96" s="120">
        <v>86</v>
      </c>
      <c r="E96" s="24">
        <f>'Cálculos - Distintas Ecuaciones'!F102</f>
        <v>23390</v>
      </c>
      <c r="F96" s="39">
        <f>'Cálculos - Distintas Ecuaciones'!Z102+Cunetas!J209+Cunetas!J210</f>
        <v>0.54003648087890399</v>
      </c>
      <c r="G96" s="50" t="str">
        <f t="shared" si="107"/>
        <v>1</v>
      </c>
      <c r="H96" s="120">
        <f t="shared" si="108"/>
        <v>2.4E-2</v>
      </c>
      <c r="I96" s="20">
        <v>0.05</v>
      </c>
      <c r="J96" s="45">
        <v>1.2</v>
      </c>
      <c r="K96" s="67" t="str">
        <f t="shared" si="110"/>
        <v>Circular</v>
      </c>
      <c r="L96" s="45"/>
      <c r="M96" s="45"/>
      <c r="N96" s="5">
        <v>0.39319730039603418</v>
      </c>
      <c r="O96" s="5">
        <f t="shared" si="111"/>
        <v>2.4378157266717153</v>
      </c>
      <c r="P96" s="5">
        <f t="shared" si="112"/>
        <v>1.1264681858561509</v>
      </c>
      <c r="Q96" s="5">
        <f t="shared" si="113"/>
        <v>0.32232849987439183</v>
      </c>
      <c r="R96" s="5">
        <f t="shared" si="114"/>
        <v>1.4626894360030291</v>
      </c>
      <c r="S96" s="5">
        <f t="shared" si="115"/>
        <v>0.22036701157505612</v>
      </c>
      <c r="T96" s="117">
        <f t="shared" si="116"/>
        <v>0.99999999943538598</v>
      </c>
      <c r="U96" s="5">
        <f t="shared" si="117"/>
        <v>1.6754226855191234</v>
      </c>
      <c r="V96" s="39">
        <f t="shared" si="118"/>
        <v>1.2147189975069889E-2</v>
      </c>
      <c r="W96" s="46" t="str">
        <f t="shared" si="119"/>
        <v>Aceptable</v>
      </c>
      <c r="X96" s="5">
        <f t="shared" si="120"/>
        <v>2.9728787021413947E-2</v>
      </c>
      <c r="Y96" s="5">
        <f t="shared" si="121"/>
        <v>2.9728787054984527E-2</v>
      </c>
      <c r="Z96" s="5">
        <f t="shared" si="122"/>
        <v>-3.357058034336724E-11</v>
      </c>
      <c r="AB96" s="120"/>
      <c r="AC96" s="120" t="str">
        <f t="shared" si="123"/>
        <v/>
      </c>
      <c r="AD96" s="120" t="str">
        <f t="shared" si="124"/>
        <v/>
      </c>
      <c r="AE96" s="120" t="str">
        <f t="shared" si="125"/>
        <v/>
      </c>
      <c r="AF96" s="120" t="str">
        <f t="shared" si="126"/>
        <v/>
      </c>
      <c r="AG96" s="120" t="str">
        <f t="shared" si="127"/>
        <v/>
      </c>
      <c r="AH96" s="120" t="str">
        <f t="shared" si="128"/>
        <v/>
      </c>
      <c r="AI96" s="120" t="str">
        <f t="shared" si="129"/>
        <v/>
      </c>
      <c r="AJ96" s="46" t="str">
        <f t="shared" si="130"/>
        <v/>
      </c>
      <c r="AK96" s="120" t="str">
        <f t="shared" si="131"/>
        <v/>
      </c>
      <c r="AL96" s="120" t="str">
        <f t="shared" si="132"/>
        <v/>
      </c>
      <c r="AM96" s="120" t="str">
        <f t="shared" si="133"/>
        <v/>
      </c>
      <c r="AN96" s="211">
        <v>2</v>
      </c>
      <c r="AP96" s="39">
        <f t="shared" si="86"/>
        <v>0.167433</v>
      </c>
      <c r="AQ96" s="39">
        <f t="shared" si="87"/>
        <v>0.53859500000000005</v>
      </c>
      <c r="AR96" s="39">
        <f t="shared" si="88"/>
        <v>-0.14937</v>
      </c>
      <c r="AS96" s="39">
        <f t="shared" si="89"/>
        <v>3.9154000000000001E-2</v>
      </c>
      <c r="AT96" s="39">
        <f t="shared" si="90"/>
        <v>-3.4399999999999999E-3</v>
      </c>
      <c r="AU96" s="39">
        <f t="shared" si="91"/>
        <v>1.16E-4</v>
      </c>
      <c r="AV96" s="39">
        <f t="shared" si="92"/>
        <v>0.51338142646475249</v>
      </c>
      <c r="AX96" s="157">
        <v>17.149999999999999</v>
      </c>
      <c r="AY96" s="120">
        <f t="shared" si="93"/>
        <v>0.85749999999999993</v>
      </c>
      <c r="AZ96" s="39">
        <f t="shared" si="94"/>
        <v>0.1430703962870597</v>
      </c>
      <c r="BA96" s="118">
        <f t="shared" si="95"/>
        <v>0.2</v>
      </c>
      <c r="BB96" s="39">
        <f t="shared" si="134"/>
        <v>2.861407925741194E-2</v>
      </c>
      <c r="BC96" s="39">
        <f t="shared" si="96"/>
        <v>0.20832430807244856</v>
      </c>
      <c r="BD96" s="39">
        <f t="shared" si="97"/>
        <v>0.3800087836169202</v>
      </c>
      <c r="BE96" s="39">
        <f t="shared" si="98"/>
        <v>0.79659865019801712</v>
      </c>
      <c r="BF96" s="39">
        <f t="shared" si="99"/>
        <v>0.31910743381493734</v>
      </c>
      <c r="BG96" s="39">
        <f t="shared" si="135"/>
        <v>0.51338142646475249</v>
      </c>
      <c r="BH96" s="39">
        <f t="shared" si="136"/>
        <v>-0.28676547794603957</v>
      </c>
      <c r="BI96" s="39">
        <f t="shared" si="137"/>
        <v>0.26592286151244782</v>
      </c>
      <c r="BK96" s="129" t="str">
        <f t="shared" si="138"/>
        <v>0</v>
      </c>
      <c r="BL96" s="120" t="str">
        <f t="shared" si="139"/>
        <v>0</v>
      </c>
      <c r="BM96" s="120" t="str">
        <f t="shared" si="140"/>
        <v>No válido</v>
      </c>
      <c r="BN96" s="36"/>
      <c r="BO96" s="129" t="str">
        <f t="shared" si="100"/>
        <v>1</v>
      </c>
      <c r="BP96" s="120" t="str">
        <f t="shared" si="141"/>
        <v>1</v>
      </c>
      <c r="BQ96" s="120" t="str">
        <f t="shared" si="101"/>
        <v>0</v>
      </c>
      <c r="BR96" s="120" t="str">
        <f t="shared" si="102"/>
        <v>No válido</v>
      </c>
      <c r="BT96" s="129" t="str">
        <f t="shared" si="142"/>
        <v>0</v>
      </c>
      <c r="BU96" s="120" t="str">
        <f t="shared" si="143"/>
        <v>1</v>
      </c>
      <c r="BV96" s="120" t="str">
        <f t="shared" si="144"/>
        <v>No válido</v>
      </c>
      <c r="BX96" s="129" t="str">
        <f t="shared" si="145"/>
        <v>1</v>
      </c>
      <c r="BY96" s="129" t="str">
        <f t="shared" si="103"/>
        <v>0</v>
      </c>
      <c r="BZ96" s="27" t="str">
        <f t="shared" si="104"/>
        <v>1</v>
      </c>
      <c r="CA96" s="120" t="str">
        <f t="shared" si="146"/>
        <v>No válido</v>
      </c>
      <c r="CC96" s="129" t="str">
        <f t="shared" si="147"/>
        <v>1</v>
      </c>
      <c r="CD96" s="129" t="str">
        <f t="shared" si="105"/>
        <v>1</v>
      </c>
      <c r="CE96" s="129" t="str">
        <f t="shared" si="106"/>
        <v>0</v>
      </c>
      <c r="CF96" s="120" t="str">
        <f t="shared" si="148"/>
        <v>No válido</v>
      </c>
    </row>
    <row r="97" spans="1:84" x14ac:dyDescent="0.25">
      <c r="A97" s="150" t="s">
        <v>80</v>
      </c>
      <c r="D97" s="120">
        <v>87</v>
      </c>
      <c r="E97" s="24">
        <f>'Cálculos - Distintas Ecuaciones'!F103</f>
        <v>23505</v>
      </c>
      <c r="F97" s="39">
        <f>'Cálculos - Distintas Ecuaciones'!Z103+Cunetas!J211</f>
        <v>0.14622371798191433</v>
      </c>
      <c r="G97" s="50" t="str">
        <f t="shared" si="107"/>
        <v>1</v>
      </c>
      <c r="H97" s="120">
        <f t="shared" si="108"/>
        <v>2.4E-2</v>
      </c>
      <c r="I97" s="20">
        <v>0.05</v>
      </c>
      <c r="J97" s="45">
        <v>1.2</v>
      </c>
      <c r="K97" s="67" t="str">
        <f t="shared" si="110"/>
        <v>Circular</v>
      </c>
      <c r="L97" s="45"/>
      <c r="M97" s="45"/>
      <c r="N97" s="5">
        <v>0.20125800357370871</v>
      </c>
      <c r="O97" s="5">
        <f t="shared" si="111"/>
        <v>1.6877562517967872</v>
      </c>
      <c r="P97" s="5">
        <f t="shared" si="112"/>
        <v>0.89667122243545982</v>
      </c>
      <c r="Q97" s="5">
        <f t="shared" si="113"/>
        <v>0.1250258886374625</v>
      </c>
      <c r="R97" s="5">
        <f t="shared" si="114"/>
        <v>1.0126537510780722</v>
      </c>
      <c r="S97" s="5">
        <f t="shared" si="115"/>
        <v>0.12346361083870949</v>
      </c>
      <c r="T97" s="117">
        <f t="shared" si="116"/>
        <v>1.0000000219798302</v>
      </c>
      <c r="U97" s="5">
        <f t="shared" si="117"/>
        <v>1.1695475199214074</v>
      </c>
      <c r="V97" s="39">
        <f t="shared" si="118"/>
        <v>1.2815619238869015E-2</v>
      </c>
      <c r="W97" s="46" t="str">
        <f t="shared" si="119"/>
        <v>Aceptable</v>
      </c>
      <c r="X97" s="5">
        <f t="shared" si="120"/>
        <v>2.1795490010656899E-3</v>
      </c>
      <c r="Y97" s="5">
        <f t="shared" si="121"/>
        <v>2.179548905253458E-3</v>
      </c>
      <c r="Z97" s="5">
        <f t="shared" si="122"/>
        <v>9.5812231846320595E-11</v>
      </c>
      <c r="AB97" s="120"/>
      <c r="AC97" s="120" t="str">
        <f t="shared" si="123"/>
        <v/>
      </c>
      <c r="AD97" s="120" t="str">
        <f t="shared" si="124"/>
        <v/>
      </c>
      <c r="AE97" s="120" t="str">
        <f t="shared" si="125"/>
        <v/>
      </c>
      <c r="AF97" s="120" t="str">
        <f t="shared" si="126"/>
        <v/>
      </c>
      <c r="AG97" s="120" t="str">
        <f t="shared" si="127"/>
        <v/>
      </c>
      <c r="AH97" s="120" t="str">
        <f t="shared" si="128"/>
        <v/>
      </c>
      <c r="AI97" s="120" t="str">
        <f t="shared" si="129"/>
        <v/>
      </c>
      <c r="AJ97" s="46" t="str">
        <f t="shared" si="130"/>
        <v/>
      </c>
      <c r="AK97" s="120" t="str">
        <f t="shared" si="131"/>
        <v/>
      </c>
      <c r="AL97" s="120" t="str">
        <f t="shared" si="132"/>
        <v/>
      </c>
      <c r="AM97" s="120" t="str">
        <f t="shared" si="133"/>
        <v/>
      </c>
      <c r="AN97" s="211">
        <v>9</v>
      </c>
      <c r="AP97" s="39">
        <f t="shared" si="86"/>
        <v>0.167433</v>
      </c>
      <c r="AQ97" s="39">
        <f t="shared" si="87"/>
        <v>0.53859500000000005</v>
      </c>
      <c r="AR97" s="39">
        <f t="shared" si="88"/>
        <v>-0.14937</v>
      </c>
      <c r="AS97" s="39">
        <f t="shared" si="89"/>
        <v>3.9154000000000001E-2</v>
      </c>
      <c r="AT97" s="39">
        <f t="shared" si="90"/>
        <v>-3.4399999999999999E-3</v>
      </c>
      <c r="AU97" s="39">
        <f t="shared" si="91"/>
        <v>1.16E-4</v>
      </c>
      <c r="AV97" s="39">
        <f t="shared" si="92"/>
        <v>0.27460337332231288</v>
      </c>
      <c r="AX97" s="157">
        <v>15.7</v>
      </c>
      <c r="AY97" s="120">
        <f t="shared" si="93"/>
        <v>0.78500000000000003</v>
      </c>
      <c r="AZ97" s="39">
        <f t="shared" si="94"/>
        <v>6.9716687123053761E-2</v>
      </c>
      <c r="BA97" s="118">
        <f t="shared" si="95"/>
        <v>0.2</v>
      </c>
      <c r="BB97" s="39">
        <f t="shared" si="134"/>
        <v>1.3943337424610753E-2</v>
      </c>
      <c r="BC97" s="39">
        <f t="shared" si="96"/>
        <v>0.20120522205024349</v>
      </c>
      <c r="BD97" s="39">
        <f t="shared" si="97"/>
        <v>0.28486524659790802</v>
      </c>
      <c r="BE97" s="39">
        <f t="shared" si="98"/>
        <v>0.70062900178685439</v>
      </c>
      <c r="BF97" s="39">
        <f t="shared" si="99"/>
        <v>0.20049424838476237</v>
      </c>
      <c r="BG97" s="39">
        <f t="shared" si="135"/>
        <v>0.27460337332231288</v>
      </c>
      <c r="BH97" s="39">
        <f t="shared" si="136"/>
        <v>-0.42533052223140599</v>
      </c>
      <c r="BI97" s="39">
        <f t="shared" si="137"/>
        <v>0.16707854032063532</v>
      </c>
      <c r="BK97" s="129" t="str">
        <f t="shared" si="138"/>
        <v>0</v>
      </c>
      <c r="BL97" s="120" t="str">
        <f t="shared" si="139"/>
        <v>0</v>
      </c>
      <c r="BM97" s="120" t="str">
        <f t="shared" si="140"/>
        <v>No válido</v>
      </c>
      <c r="BN97" s="36"/>
      <c r="BO97" s="129" t="str">
        <f t="shared" si="100"/>
        <v>1</v>
      </c>
      <c r="BP97" s="120" t="str">
        <f t="shared" si="141"/>
        <v>1</v>
      </c>
      <c r="BQ97" s="120" t="str">
        <f t="shared" si="101"/>
        <v>0</v>
      </c>
      <c r="BR97" s="120" t="str">
        <f t="shared" si="102"/>
        <v>No válido</v>
      </c>
      <c r="BT97" s="129" t="str">
        <f t="shared" si="142"/>
        <v>0</v>
      </c>
      <c r="BU97" s="120" t="str">
        <f t="shared" si="143"/>
        <v>1</v>
      </c>
      <c r="BV97" s="120" t="str">
        <f t="shared" si="144"/>
        <v>No válido</v>
      </c>
      <c r="BX97" s="129" t="str">
        <f t="shared" si="145"/>
        <v>1</v>
      </c>
      <c r="BY97" s="129" t="str">
        <f t="shared" si="103"/>
        <v>0</v>
      </c>
      <c r="BZ97" s="27" t="str">
        <f t="shared" si="104"/>
        <v>1</v>
      </c>
      <c r="CA97" s="120" t="str">
        <f t="shared" si="146"/>
        <v>No válido</v>
      </c>
      <c r="CC97" s="129" t="str">
        <f t="shared" si="147"/>
        <v>1</v>
      </c>
      <c r="CD97" s="129" t="str">
        <f t="shared" si="105"/>
        <v>1</v>
      </c>
      <c r="CE97" s="129" t="str">
        <f t="shared" si="106"/>
        <v>0</v>
      </c>
      <c r="CF97" s="120" t="str">
        <f t="shared" si="148"/>
        <v>No válido</v>
      </c>
    </row>
    <row r="98" spans="1:84" x14ac:dyDescent="0.25">
      <c r="A98" s="150" t="s">
        <v>80</v>
      </c>
      <c r="D98" s="120">
        <v>88</v>
      </c>
      <c r="E98" s="24">
        <f>'Cálculos - Distintas Ecuaciones'!F104</f>
        <v>23619</v>
      </c>
      <c r="F98" s="39">
        <f>'Cálculos - Distintas Ecuaciones'!Z104+Cunetas!J212</f>
        <v>0.63009044988633101</v>
      </c>
      <c r="G98" s="50" t="str">
        <f t="shared" si="107"/>
        <v>1</v>
      </c>
      <c r="H98" s="120">
        <f t="shared" si="108"/>
        <v>2.4E-2</v>
      </c>
      <c r="I98" s="20">
        <v>0.05</v>
      </c>
      <c r="J98" s="45">
        <v>1.2</v>
      </c>
      <c r="K98" s="67" t="str">
        <f t="shared" si="110"/>
        <v>Circular</v>
      </c>
      <c r="L98" s="45"/>
      <c r="M98" s="45"/>
      <c r="N98" s="5">
        <v>0.42589741549174931</v>
      </c>
      <c r="O98" s="5">
        <f t="shared" si="111"/>
        <v>2.5527816655545674</v>
      </c>
      <c r="P98" s="5">
        <f t="shared" si="112"/>
        <v>1.1483697837674891</v>
      </c>
      <c r="Q98" s="5">
        <f t="shared" si="113"/>
        <v>0.35953362613727169</v>
      </c>
      <c r="R98" s="5">
        <f t="shared" si="114"/>
        <v>1.5316689993327404</v>
      </c>
      <c r="S98" s="5">
        <f t="shared" si="115"/>
        <v>0.23473323955365011</v>
      </c>
      <c r="T98" s="117">
        <f t="shared" si="116"/>
        <v>0.99999999874199241</v>
      </c>
      <c r="U98" s="5">
        <f t="shared" si="117"/>
        <v>1.7525216115550744</v>
      </c>
      <c r="V98" s="39">
        <f t="shared" si="118"/>
        <v>1.2217521855488866E-2</v>
      </c>
      <c r="W98" s="46" t="str">
        <f t="shared" si="119"/>
        <v>Aceptable</v>
      </c>
      <c r="X98" s="5">
        <f t="shared" si="120"/>
        <v>4.0470333846886745E-2</v>
      </c>
      <c r="Y98" s="5">
        <f t="shared" si="121"/>
        <v>4.0470333948710718E-2</v>
      </c>
      <c r="Z98" s="5">
        <f t="shared" si="122"/>
        <v>-1.0182397286451206E-10</v>
      </c>
      <c r="AB98" s="120"/>
      <c r="AC98" s="120" t="str">
        <f t="shared" si="123"/>
        <v/>
      </c>
      <c r="AD98" s="120" t="str">
        <f t="shared" si="124"/>
        <v/>
      </c>
      <c r="AE98" s="120" t="str">
        <f t="shared" si="125"/>
        <v/>
      </c>
      <c r="AF98" s="120" t="str">
        <f t="shared" si="126"/>
        <v/>
      </c>
      <c r="AG98" s="120" t="str">
        <f t="shared" si="127"/>
        <v/>
      </c>
      <c r="AH98" s="120" t="str">
        <f t="shared" si="128"/>
        <v/>
      </c>
      <c r="AI98" s="120" t="str">
        <f t="shared" si="129"/>
        <v/>
      </c>
      <c r="AJ98" s="46" t="str">
        <f t="shared" si="130"/>
        <v/>
      </c>
      <c r="AK98" s="120" t="str">
        <f t="shared" si="131"/>
        <v/>
      </c>
      <c r="AL98" s="120" t="str">
        <f t="shared" si="132"/>
        <v/>
      </c>
      <c r="AM98" s="120" t="str">
        <f t="shared" si="133"/>
        <v/>
      </c>
      <c r="AN98" s="211">
        <v>4</v>
      </c>
      <c r="AP98" s="39">
        <f t="shared" si="86"/>
        <v>0.167433</v>
      </c>
      <c r="AQ98" s="39">
        <f t="shared" si="87"/>
        <v>0.53859500000000005</v>
      </c>
      <c r="AR98" s="39">
        <f t="shared" si="88"/>
        <v>-0.14937</v>
      </c>
      <c r="AS98" s="39">
        <f t="shared" si="89"/>
        <v>3.9154000000000001E-2</v>
      </c>
      <c r="AT98" s="39">
        <f t="shared" si="90"/>
        <v>-3.4399999999999999E-3</v>
      </c>
      <c r="AU98" s="39">
        <f t="shared" si="91"/>
        <v>1.16E-4</v>
      </c>
      <c r="AV98" s="39">
        <f t="shared" si="92"/>
        <v>0.56139544518016427</v>
      </c>
      <c r="AX98" s="157">
        <v>39.1</v>
      </c>
      <c r="AY98" s="120">
        <f t="shared" si="93"/>
        <v>1.9550000000000001</v>
      </c>
      <c r="AZ98" s="39">
        <f t="shared" si="94"/>
        <v>0.15654087660385296</v>
      </c>
      <c r="BA98" s="118">
        <f t="shared" si="95"/>
        <v>0.2</v>
      </c>
      <c r="BB98" s="39">
        <f t="shared" si="134"/>
        <v>3.1308175320770591E-2</v>
      </c>
      <c r="BC98" s="39">
        <f t="shared" si="96"/>
        <v>0.47770510454961473</v>
      </c>
      <c r="BD98" s="39">
        <f t="shared" si="97"/>
        <v>0.66555415647423832</v>
      </c>
      <c r="BE98" s="39">
        <f t="shared" si="98"/>
        <v>0.81294870774587458</v>
      </c>
      <c r="BF98" s="39">
        <f t="shared" si="99"/>
        <v>-0.47649713577988706</v>
      </c>
      <c r="BG98" s="39">
        <f t="shared" si="135"/>
        <v>0.56139544518016427</v>
      </c>
      <c r="BH98" s="39">
        <f t="shared" si="136"/>
        <v>-1.1613371290165297</v>
      </c>
      <c r="BI98" s="39">
        <f t="shared" si="137"/>
        <v>-0.39708094648323922</v>
      </c>
      <c r="BK98" s="129" t="str">
        <f t="shared" si="138"/>
        <v>0</v>
      </c>
      <c r="BL98" s="120" t="str">
        <f t="shared" si="139"/>
        <v>0</v>
      </c>
      <c r="BM98" s="120" t="str">
        <f t="shared" si="140"/>
        <v>No válido</v>
      </c>
      <c r="BN98" s="36"/>
      <c r="BO98" s="129" t="str">
        <f t="shared" si="100"/>
        <v>1</v>
      </c>
      <c r="BP98" s="120" t="str">
        <f t="shared" si="141"/>
        <v>1</v>
      </c>
      <c r="BQ98" s="120" t="str">
        <f t="shared" si="101"/>
        <v>0</v>
      </c>
      <c r="BR98" s="120" t="str">
        <f t="shared" si="102"/>
        <v>No válido</v>
      </c>
      <c r="BT98" s="129" t="str">
        <f t="shared" si="142"/>
        <v>0</v>
      </c>
      <c r="BU98" s="120" t="str">
        <f t="shared" si="143"/>
        <v>1</v>
      </c>
      <c r="BV98" s="120" t="str">
        <f t="shared" si="144"/>
        <v>No válido</v>
      </c>
      <c r="BX98" s="129" t="str">
        <f t="shared" si="145"/>
        <v>1</v>
      </c>
      <c r="BY98" s="129" t="str">
        <f t="shared" si="103"/>
        <v>0</v>
      </c>
      <c r="BZ98" s="27" t="str">
        <f t="shared" si="104"/>
        <v>1</v>
      </c>
      <c r="CA98" s="120" t="str">
        <f t="shared" si="146"/>
        <v>No válido</v>
      </c>
      <c r="CC98" s="129" t="str">
        <f t="shared" si="147"/>
        <v>1</v>
      </c>
      <c r="CD98" s="129" t="str">
        <f t="shared" si="105"/>
        <v>1</v>
      </c>
      <c r="CE98" s="129" t="str">
        <f t="shared" si="106"/>
        <v>0</v>
      </c>
      <c r="CF98" s="120" t="str">
        <f t="shared" si="148"/>
        <v>No válido</v>
      </c>
    </row>
    <row r="99" spans="1:84" x14ac:dyDescent="0.25">
      <c r="A99" s="150" t="s">
        <v>79</v>
      </c>
      <c r="C99" s="116"/>
      <c r="D99" s="120">
        <v>89</v>
      </c>
      <c r="E99" s="24">
        <f>'Cálculos - Distintas Ecuaciones'!F105</f>
        <v>23881.7</v>
      </c>
      <c r="F99" s="39">
        <f>'Cálculos - Distintas Ecuaciones'!Z105+Cunetas!J213+Cunetas!J214</f>
        <v>6.5932145095741364</v>
      </c>
      <c r="G99" s="50" t="str">
        <f t="shared" si="107"/>
        <v>2</v>
      </c>
      <c r="H99" s="120">
        <f t="shared" si="108"/>
        <v>1.4E-2</v>
      </c>
      <c r="I99" s="20">
        <v>0.05</v>
      </c>
      <c r="J99" s="45">
        <v>1.8</v>
      </c>
      <c r="K99" s="67" t="str">
        <f t="shared" si="110"/>
        <v>Cajón</v>
      </c>
      <c r="L99" s="45">
        <v>1.5</v>
      </c>
      <c r="M99" s="45">
        <v>1.5</v>
      </c>
      <c r="N99" s="5">
        <v>1.2778503293075159</v>
      </c>
      <c r="O99" s="5" t="str">
        <f t="shared" si="111"/>
        <v/>
      </c>
      <c r="P99" s="5" t="str">
        <f t="shared" si="112"/>
        <v/>
      </c>
      <c r="Q99" s="5" t="str">
        <f t="shared" si="113"/>
        <v/>
      </c>
      <c r="R99" s="5" t="str">
        <f t="shared" si="114"/>
        <v/>
      </c>
      <c r="S99" s="5" t="str">
        <f t="shared" si="115"/>
        <v/>
      </c>
      <c r="T99" s="117" t="str">
        <f t="shared" si="116"/>
        <v/>
      </c>
      <c r="U99" s="5" t="str">
        <f t="shared" si="117"/>
        <v/>
      </c>
      <c r="V99" s="39" t="str">
        <f t="shared" si="118"/>
        <v/>
      </c>
      <c r="W99" s="46" t="str">
        <f t="shared" si="119"/>
        <v/>
      </c>
      <c r="X99" s="5" t="str">
        <f t="shared" si="120"/>
        <v/>
      </c>
      <c r="Y99" s="5" t="str">
        <f t="shared" si="121"/>
        <v/>
      </c>
      <c r="Z99" s="5" t="str">
        <f t="shared" si="122"/>
        <v/>
      </c>
      <c r="AB99" s="5">
        <v>1.2534709937399839</v>
      </c>
      <c r="AC99" s="5">
        <f t="shared" si="123"/>
        <v>1.5</v>
      </c>
      <c r="AD99" s="5">
        <f t="shared" si="124"/>
        <v>1.880206490609976</v>
      </c>
      <c r="AE99" s="5">
        <f t="shared" si="125"/>
        <v>4.0069419874799674</v>
      </c>
      <c r="AF99" s="5">
        <f t="shared" si="126"/>
        <v>0.46923726285153161</v>
      </c>
      <c r="AG99" s="5">
        <f t="shared" si="127"/>
        <v>1.0000000234639475</v>
      </c>
      <c r="AH99" s="5">
        <f t="shared" si="128"/>
        <v>3.506643840717286</v>
      </c>
      <c r="AI99" s="5">
        <f t="shared" si="129"/>
        <v>6.6097149501728814E-3</v>
      </c>
      <c r="AJ99" s="117" t="str">
        <f t="shared" si="130"/>
        <v>Aceptable</v>
      </c>
      <c r="AK99" s="5">
        <f t="shared" si="131"/>
        <v>1.9694405042147909</v>
      </c>
      <c r="AL99" s="5">
        <f t="shared" si="132"/>
        <v>1.9694405966364896</v>
      </c>
      <c r="AM99" s="5">
        <f t="shared" si="133"/>
        <v>-9.2421698738576197E-8</v>
      </c>
      <c r="AN99" s="211">
        <v>33</v>
      </c>
      <c r="AP99" s="39">
        <f t="shared" si="86"/>
        <v>7.2493000000000002E-2</v>
      </c>
      <c r="AQ99" s="39">
        <f t="shared" si="87"/>
        <v>0.50708699999999995</v>
      </c>
      <c r="AR99" s="39">
        <f t="shared" si="88"/>
        <v>-0.11747</v>
      </c>
      <c r="AS99" s="39">
        <f t="shared" si="89"/>
        <v>2.2169999999999999E-2</v>
      </c>
      <c r="AT99" s="39">
        <f t="shared" si="90"/>
        <v>-1.49E-3</v>
      </c>
      <c r="AU99" s="39">
        <f t="shared" si="91"/>
        <v>3.8000000000000002E-5</v>
      </c>
      <c r="AV99" s="39">
        <f t="shared" si="92"/>
        <v>2.0637487841542619</v>
      </c>
      <c r="AX99" s="157">
        <v>29.5</v>
      </c>
      <c r="AY99" s="120">
        <f t="shared" si="93"/>
        <v>1.4750000000000001</v>
      </c>
      <c r="AZ99" s="39">
        <f t="shared" si="94"/>
        <v>0.62673552628136997</v>
      </c>
      <c r="BA99" s="118">
        <f t="shared" si="95"/>
        <v>0.5</v>
      </c>
      <c r="BB99" s="39">
        <f t="shared" si="134"/>
        <v>0.31336776314068499</v>
      </c>
      <c r="BC99" s="39">
        <f t="shared" si="96"/>
        <v>0.19498659103010005</v>
      </c>
      <c r="BD99" s="39">
        <f t="shared" si="97"/>
        <v>1.135089880452155</v>
      </c>
      <c r="BE99" s="39">
        <f t="shared" si="98"/>
        <v>1.3767354968699919</v>
      </c>
      <c r="BF99" s="39">
        <f t="shared" si="99"/>
        <v>1.0368253773221467</v>
      </c>
      <c r="BG99" s="39">
        <f t="shared" si="135"/>
        <v>2.0637487841542619</v>
      </c>
      <c r="BH99" s="39">
        <f t="shared" si="136"/>
        <v>0.39249918943617451</v>
      </c>
      <c r="BI99" s="39">
        <f t="shared" si="137"/>
        <v>0.6912169182147645</v>
      </c>
      <c r="BK99" s="129" t="str">
        <f t="shared" si="138"/>
        <v>0</v>
      </c>
      <c r="BL99" s="120" t="str">
        <f t="shared" si="139"/>
        <v>0</v>
      </c>
      <c r="BM99" s="120" t="str">
        <f t="shared" si="140"/>
        <v>No válido</v>
      </c>
      <c r="BN99" s="36"/>
      <c r="BO99" s="129" t="str">
        <f t="shared" si="100"/>
        <v>1</v>
      </c>
      <c r="BP99" s="120" t="str">
        <f t="shared" si="141"/>
        <v>1</v>
      </c>
      <c r="BQ99" s="120" t="str">
        <f t="shared" si="101"/>
        <v>0</v>
      </c>
      <c r="BR99" s="120" t="str">
        <f t="shared" si="102"/>
        <v>No válido</v>
      </c>
      <c r="BT99" s="129" t="str">
        <f t="shared" si="142"/>
        <v>0</v>
      </c>
      <c r="BU99" s="120" t="str">
        <f t="shared" si="143"/>
        <v>1</v>
      </c>
      <c r="BV99" s="120" t="str">
        <f t="shared" si="144"/>
        <v>No válido</v>
      </c>
      <c r="BX99" s="129" t="str">
        <f t="shared" si="145"/>
        <v>1</v>
      </c>
      <c r="BY99" s="129" t="str">
        <f t="shared" si="103"/>
        <v>0</v>
      </c>
      <c r="BZ99" s="27" t="str">
        <f t="shared" si="104"/>
        <v>1</v>
      </c>
      <c r="CA99" s="120" t="str">
        <f t="shared" si="146"/>
        <v>No válido</v>
      </c>
      <c r="CC99" s="129" t="str">
        <f t="shared" si="147"/>
        <v>1</v>
      </c>
      <c r="CD99" s="129" t="str">
        <f t="shared" si="105"/>
        <v>1</v>
      </c>
      <c r="CE99" s="129" t="str">
        <f t="shared" si="106"/>
        <v>0</v>
      </c>
      <c r="CF99" s="120" t="str">
        <f t="shared" si="148"/>
        <v>No válido</v>
      </c>
    </row>
    <row r="100" spans="1:84" x14ac:dyDescent="0.25">
      <c r="A100" s="150" t="s">
        <v>80</v>
      </c>
      <c r="D100" s="120">
        <v>90</v>
      </c>
      <c r="E100" s="24">
        <f>'Cálculos - Distintas Ecuaciones'!F106</f>
        <v>24008.2</v>
      </c>
      <c r="F100" s="39">
        <f>'Cálculos - Distintas Ecuaciones'!Z106+Cunetas!J215</f>
        <v>0.12993283571609207</v>
      </c>
      <c r="G100" s="50" t="str">
        <f t="shared" si="107"/>
        <v>1</v>
      </c>
      <c r="H100" s="120">
        <f t="shared" si="108"/>
        <v>2.4E-2</v>
      </c>
      <c r="I100" s="20">
        <v>0.05</v>
      </c>
      <c r="J100" s="45">
        <v>1.2</v>
      </c>
      <c r="K100" s="67" t="str">
        <f t="shared" si="110"/>
        <v>Circular</v>
      </c>
      <c r="L100" s="45"/>
      <c r="M100" s="45"/>
      <c r="N100" s="5">
        <v>0.18952516640802591</v>
      </c>
      <c r="O100" s="5">
        <f t="shared" si="111"/>
        <v>1.6347867165515972</v>
      </c>
      <c r="P100" s="5">
        <f t="shared" si="112"/>
        <v>0.87523804987589793</v>
      </c>
      <c r="Q100" s="5">
        <f t="shared" si="113"/>
        <v>0.11463001254120096</v>
      </c>
      <c r="R100" s="5">
        <f t="shared" si="114"/>
        <v>0.98087202993095834</v>
      </c>
      <c r="S100" s="5">
        <f t="shared" si="115"/>
        <v>0.1168654106176007</v>
      </c>
      <c r="T100" s="117">
        <f t="shared" si="116"/>
        <v>0.99999999570012377</v>
      </c>
      <c r="U100" s="5">
        <f t="shared" si="117"/>
        <v>1.133497526831299</v>
      </c>
      <c r="V100" s="39">
        <f t="shared" si="118"/>
        <v>1.2952362325166722E-2</v>
      </c>
      <c r="W100" s="46" t="str">
        <f t="shared" si="119"/>
        <v>Aceptable</v>
      </c>
      <c r="X100" s="5">
        <f t="shared" si="120"/>
        <v>1.7209522729077441E-3</v>
      </c>
      <c r="Y100" s="5">
        <f t="shared" si="121"/>
        <v>1.7209522877075075E-3</v>
      </c>
      <c r="Z100" s="5">
        <f t="shared" si="122"/>
        <v>-1.4799763411316169E-11</v>
      </c>
      <c r="AB100" s="120"/>
      <c r="AC100" s="120" t="str">
        <f t="shared" si="123"/>
        <v/>
      </c>
      <c r="AD100" s="120" t="str">
        <f t="shared" si="124"/>
        <v/>
      </c>
      <c r="AE100" s="120" t="str">
        <f t="shared" si="125"/>
        <v/>
      </c>
      <c r="AF100" s="120" t="str">
        <f t="shared" si="126"/>
        <v/>
      </c>
      <c r="AG100" s="120" t="str">
        <f t="shared" si="127"/>
        <v/>
      </c>
      <c r="AH100" s="120" t="str">
        <f t="shared" si="128"/>
        <v/>
      </c>
      <c r="AI100" s="120" t="str">
        <f t="shared" si="129"/>
        <v/>
      </c>
      <c r="AJ100" s="46" t="str">
        <f t="shared" si="130"/>
        <v/>
      </c>
      <c r="AK100" s="120" t="str">
        <f t="shared" si="131"/>
        <v/>
      </c>
      <c r="AL100" s="120" t="str">
        <f t="shared" si="132"/>
        <v/>
      </c>
      <c r="AM100" s="120" t="str">
        <f t="shared" si="133"/>
        <v/>
      </c>
      <c r="AN100" s="211">
        <v>3</v>
      </c>
      <c r="AP100" s="39">
        <f t="shared" si="86"/>
        <v>0.167433</v>
      </c>
      <c r="AQ100" s="39">
        <f t="shared" si="87"/>
        <v>0.53859500000000005</v>
      </c>
      <c r="AR100" s="39">
        <f t="shared" si="88"/>
        <v>-0.14937</v>
      </c>
      <c r="AS100" s="39">
        <f t="shared" si="89"/>
        <v>3.9154000000000001E-2</v>
      </c>
      <c r="AT100" s="39">
        <f t="shared" si="90"/>
        <v>-3.4399999999999999E-3</v>
      </c>
      <c r="AU100" s="39">
        <f t="shared" si="91"/>
        <v>1.16E-4</v>
      </c>
      <c r="AV100" s="39">
        <f t="shared" si="92"/>
        <v>0.26351142725662952</v>
      </c>
      <c r="AX100" s="157">
        <v>19.600000000000001</v>
      </c>
      <c r="AY100" s="120">
        <f t="shared" si="93"/>
        <v>0.98000000000000009</v>
      </c>
      <c r="AZ100" s="39">
        <f t="shared" si="94"/>
        <v>6.5485048080156538E-2</v>
      </c>
      <c r="BA100" s="118">
        <f t="shared" si="95"/>
        <v>0.2</v>
      </c>
      <c r="BB100" s="39">
        <f t="shared" si="134"/>
        <v>1.3097009616031309E-2</v>
      </c>
      <c r="BC100" s="39">
        <f t="shared" si="96"/>
        <v>0.25386630157326778</v>
      </c>
      <c r="BD100" s="39">
        <f t="shared" si="97"/>
        <v>0.3324483592694556</v>
      </c>
      <c r="BE100" s="39">
        <f t="shared" si="98"/>
        <v>0.69476258320401296</v>
      </c>
      <c r="BF100" s="39">
        <f t="shared" si="99"/>
        <v>4.7210942473468465E-2</v>
      </c>
      <c r="BG100" s="39">
        <f t="shared" si="135"/>
        <v>0.26351142725662952</v>
      </c>
      <c r="BH100" s="39">
        <f t="shared" si="136"/>
        <v>-0.59707381061947551</v>
      </c>
      <c r="BI100" s="39">
        <f t="shared" si="137"/>
        <v>3.9342452061223721E-2</v>
      </c>
      <c r="BK100" s="129" t="str">
        <f t="shared" si="138"/>
        <v>0</v>
      </c>
      <c r="BL100" s="120" t="str">
        <f t="shared" si="139"/>
        <v>0</v>
      </c>
      <c r="BM100" s="120" t="str">
        <f t="shared" si="140"/>
        <v>No válido</v>
      </c>
      <c r="BN100" s="36"/>
      <c r="BO100" s="129" t="str">
        <f t="shared" si="100"/>
        <v>1</v>
      </c>
      <c r="BP100" s="120" t="str">
        <f t="shared" si="141"/>
        <v>1</v>
      </c>
      <c r="BQ100" s="120" t="str">
        <f t="shared" si="101"/>
        <v>0</v>
      </c>
      <c r="BR100" s="120" t="str">
        <f t="shared" si="102"/>
        <v>No válido</v>
      </c>
      <c r="BT100" s="129" t="str">
        <f t="shared" si="142"/>
        <v>0</v>
      </c>
      <c r="BU100" s="120" t="str">
        <f t="shared" si="143"/>
        <v>1</v>
      </c>
      <c r="BV100" s="120" t="str">
        <f t="shared" si="144"/>
        <v>No válido</v>
      </c>
      <c r="BX100" s="129" t="str">
        <f t="shared" si="145"/>
        <v>1</v>
      </c>
      <c r="BY100" s="129" t="str">
        <f t="shared" si="103"/>
        <v>0</v>
      </c>
      <c r="BZ100" s="27" t="str">
        <f t="shared" si="104"/>
        <v>1</v>
      </c>
      <c r="CA100" s="120" t="str">
        <f t="shared" si="146"/>
        <v>No válido</v>
      </c>
      <c r="CC100" s="129" t="str">
        <f t="shared" si="147"/>
        <v>1</v>
      </c>
      <c r="CD100" s="129" t="str">
        <f t="shared" si="105"/>
        <v>1</v>
      </c>
      <c r="CE100" s="129" t="str">
        <f t="shared" si="106"/>
        <v>0</v>
      </c>
      <c r="CF100" s="120" t="str">
        <f t="shared" si="148"/>
        <v>No válido</v>
      </c>
    </row>
    <row r="101" spans="1:84" x14ac:dyDescent="0.25">
      <c r="A101" s="150" t="s">
        <v>80</v>
      </c>
      <c r="D101" s="120">
        <v>91</v>
      </c>
      <c r="E101" s="24">
        <f>'Cálculos - Distintas Ecuaciones'!F107</f>
        <v>24094</v>
      </c>
      <c r="F101" s="39">
        <f>'Cálculos - Distintas Ecuaciones'!Z107+Cunetas!J216</f>
        <v>0.50125145446183739</v>
      </c>
      <c r="G101" s="50" t="str">
        <f t="shared" si="107"/>
        <v>1</v>
      </c>
      <c r="H101" s="120">
        <f t="shared" si="108"/>
        <v>2.4E-2</v>
      </c>
      <c r="I101" s="20">
        <v>0.05</v>
      </c>
      <c r="J101" s="45">
        <v>1.2</v>
      </c>
      <c r="K101" s="67" t="str">
        <f t="shared" si="110"/>
        <v>Circular</v>
      </c>
      <c r="L101" s="45"/>
      <c r="M101" s="45"/>
      <c r="N101" s="5">
        <v>0.37833496443151604</v>
      </c>
      <c r="O101" s="5">
        <f t="shared" si="111"/>
        <v>2.3847763091155745</v>
      </c>
      <c r="P101" s="5">
        <f t="shared" si="112"/>
        <v>1.1151046802994287</v>
      </c>
      <c r="Q101" s="5">
        <f t="shared" si="113"/>
        <v>0.30566987633022552</v>
      </c>
      <c r="R101" s="5">
        <f t="shared" si="114"/>
        <v>1.4308657854693447</v>
      </c>
      <c r="S101" s="5">
        <f t="shared" si="115"/>
        <v>0.21362581972002453</v>
      </c>
      <c r="T101" s="117">
        <f t="shared" si="116"/>
        <v>0.99999999897698355</v>
      </c>
      <c r="U101" s="5">
        <f t="shared" si="117"/>
        <v>1.6398457724382316</v>
      </c>
      <c r="V101" s="39">
        <f t="shared" si="118"/>
        <v>1.2128958300233006E-2</v>
      </c>
      <c r="W101" s="46" t="str">
        <f t="shared" si="119"/>
        <v>Aceptable</v>
      </c>
      <c r="X101" s="5">
        <f t="shared" si="120"/>
        <v>2.5611928705413602E-2</v>
      </c>
      <c r="Y101" s="5">
        <f t="shared" si="121"/>
        <v>2.5611928757816451E-2</v>
      </c>
      <c r="Z101" s="5">
        <f t="shared" si="122"/>
        <v>-5.240284942087392E-11</v>
      </c>
      <c r="AB101" s="120"/>
      <c r="AC101" s="120" t="str">
        <f t="shared" si="123"/>
        <v/>
      </c>
      <c r="AD101" s="120" t="str">
        <f t="shared" si="124"/>
        <v/>
      </c>
      <c r="AE101" s="120" t="str">
        <f t="shared" si="125"/>
        <v/>
      </c>
      <c r="AF101" s="120" t="str">
        <f t="shared" si="126"/>
        <v/>
      </c>
      <c r="AG101" s="120" t="str">
        <f t="shared" si="127"/>
        <v/>
      </c>
      <c r="AH101" s="120" t="str">
        <f t="shared" si="128"/>
        <v/>
      </c>
      <c r="AI101" s="120" t="str">
        <f t="shared" si="129"/>
        <v/>
      </c>
      <c r="AJ101" s="46" t="str">
        <f t="shared" si="130"/>
        <v/>
      </c>
      <c r="AK101" s="120" t="str">
        <f t="shared" si="131"/>
        <v/>
      </c>
      <c r="AL101" s="120" t="str">
        <f t="shared" si="132"/>
        <v/>
      </c>
      <c r="AM101" s="120" t="str">
        <f t="shared" si="133"/>
        <v/>
      </c>
      <c r="AN101" s="211">
        <v>43</v>
      </c>
      <c r="AP101" s="39">
        <f t="shared" si="86"/>
        <v>0.167433</v>
      </c>
      <c r="AQ101" s="39">
        <f t="shared" si="87"/>
        <v>0.53859500000000005</v>
      </c>
      <c r="AR101" s="39">
        <f t="shared" si="88"/>
        <v>-0.14937</v>
      </c>
      <c r="AS101" s="39">
        <f t="shared" si="89"/>
        <v>3.9154000000000001E-2</v>
      </c>
      <c r="AT101" s="39">
        <f t="shared" si="90"/>
        <v>-3.4399999999999999E-3</v>
      </c>
      <c r="AU101" s="39">
        <f t="shared" si="91"/>
        <v>1.16E-4</v>
      </c>
      <c r="AV101" s="39">
        <f t="shared" si="92"/>
        <v>0.49205106024147655</v>
      </c>
      <c r="AX101" s="157">
        <v>18.2</v>
      </c>
      <c r="AY101" s="120">
        <f t="shared" si="93"/>
        <v>0.91</v>
      </c>
      <c r="AZ101" s="39">
        <f t="shared" si="94"/>
        <v>0.13705882555471663</v>
      </c>
      <c r="BA101" s="118">
        <f t="shared" si="95"/>
        <v>0.2</v>
      </c>
      <c r="BB101" s="39">
        <f t="shared" si="134"/>
        <v>2.7411765110943329E-2</v>
      </c>
      <c r="BC101" s="39">
        <f t="shared" si="96"/>
        <v>0.22074704106424067</v>
      </c>
      <c r="BD101" s="39">
        <f t="shared" si="97"/>
        <v>0.38521763172990064</v>
      </c>
      <c r="BE101" s="39">
        <f t="shared" si="98"/>
        <v>0.78916748221575794</v>
      </c>
      <c r="BF101" s="39">
        <f t="shared" si="99"/>
        <v>0.26438511394565867</v>
      </c>
      <c r="BG101" s="39">
        <f t="shared" si="135"/>
        <v>0.49205106024147655</v>
      </c>
      <c r="BH101" s="39">
        <f t="shared" si="136"/>
        <v>-0.34829078313210293</v>
      </c>
      <c r="BI101" s="39">
        <f t="shared" si="137"/>
        <v>0.22032092828804889</v>
      </c>
      <c r="BK101" s="129" t="str">
        <f t="shared" si="138"/>
        <v>0</v>
      </c>
      <c r="BL101" s="120" t="str">
        <f t="shared" si="139"/>
        <v>0</v>
      </c>
      <c r="BM101" s="120" t="str">
        <f t="shared" si="140"/>
        <v>No válido</v>
      </c>
      <c r="BN101" s="36"/>
      <c r="BO101" s="129" t="str">
        <f t="shared" si="100"/>
        <v>1</v>
      </c>
      <c r="BP101" s="120" t="str">
        <f t="shared" si="141"/>
        <v>1</v>
      </c>
      <c r="BQ101" s="120" t="str">
        <f t="shared" si="101"/>
        <v>0</v>
      </c>
      <c r="BR101" s="120" t="str">
        <f t="shared" si="102"/>
        <v>No válido</v>
      </c>
      <c r="BT101" s="129" t="str">
        <f t="shared" si="142"/>
        <v>0</v>
      </c>
      <c r="BU101" s="120" t="str">
        <f t="shared" si="143"/>
        <v>1</v>
      </c>
      <c r="BV101" s="120" t="str">
        <f t="shared" si="144"/>
        <v>No válido</v>
      </c>
      <c r="BX101" s="129" t="str">
        <f t="shared" si="145"/>
        <v>1</v>
      </c>
      <c r="BY101" s="129" t="str">
        <f t="shared" si="103"/>
        <v>0</v>
      </c>
      <c r="BZ101" s="27" t="str">
        <f t="shared" si="104"/>
        <v>1</v>
      </c>
      <c r="CA101" s="120" t="str">
        <f t="shared" si="146"/>
        <v>No válido</v>
      </c>
      <c r="CC101" s="129" t="str">
        <f t="shared" si="147"/>
        <v>1</v>
      </c>
      <c r="CD101" s="129" t="str">
        <f t="shared" si="105"/>
        <v>1</v>
      </c>
      <c r="CE101" s="129" t="str">
        <f t="shared" si="106"/>
        <v>0</v>
      </c>
      <c r="CF101" s="120" t="str">
        <f t="shared" si="148"/>
        <v>No válido</v>
      </c>
    </row>
    <row r="102" spans="1:84" x14ac:dyDescent="0.25">
      <c r="A102" s="150" t="s">
        <v>162</v>
      </c>
      <c r="B102" t="s">
        <v>305</v>
      </c>
      <c r="D102" s="120">
        <v>92</v>
      </c>
      <c r="E102" s="24">
        <f>'Cálculos - Distintas Ecuaciones'!F108</f>
        <v>24300.5</v>
      </c>
      <c r="F102" s="39">
        <f>'Cálculos - Distintas Ecuaciones'!Z108+Cunetas!J217+Cunetas!J218</f>
        <v>0.52991297356197231</v>
      </c>
      <c r="G102" s="50" t="str">
        <f t="shared" si="107"/>
        <v>1</v>
      </c>
      <c r="H102" s="120">
        <f t="shared" si="108"/>
        <v>2.4E-2</v>
      </c>
      <c r="I102" s="20">
        <v>0.05</v>
      </c>
      <c r="J102" s="45">
        <v>1.2</v>
      </c>
      <c r="K102" s="67" t="str">
        <f t="shared" si="110"/>
        <v>Circular</v>
      </c>
      <c r="L102" s="45"/>
      <c r="M102" s="45"/>
      <c r="N102" s="5">
        <v>0.38936740035416861</v>
      </c>
      <c r="O102" s="5">
        <f t="shared" si="111"/>
        <v>2.4241989275643192</v>
      </c>
      <c r="P102" s="5">
        <f t="shared" si="112"/>
        <v>1.1236261085724892</v>
      </c>
      <c r="Q102" s="5">
        <f t="shared" si="113"/>
        <v>0.31801966282230104</v>
      </c>
      <c r="R102" s="5">
        <f t="shared" si="114"/>
        <v>1.4545193565385914</v>
      </c>
      <c r="S102" s="5">
        <f t="shared" si="115"/>
        <v>0.21864244115603373</v>
      </c>
      <c r="T102" s="117">
        <f t="shared" si="116"/>
        <v>1.0000000007322678</v>
      </c>
      <c r="U102" s="5">
        <f t="shared" si="117"/>
        <v>1.6662899672907028</v>
      </c>
      <c r="V102" s="39">
        <f t="shared" si="118"/>
        <v>1.2141649326053668E-2</v>
      </c>
      <c r="W102" s="46" t="str">
        <f t="shared" si="119"/>
        <v>Aceptable</v>
      </c>
      <c r="X102" s="5">
        <f t="shared" si="120"/>
        <v>2.8624644194627069E-2</v>
      </c>
      <c r="Y102" s="5">
        <f t="shared" si="121"/>
        <v>2.862464415270527E-2</v>
      </c>
      <c r="Z102" s="5">
        <f t="shared" si="122"/>
        <v>4.1921799365240986E-11</v>
      </c>
      <c r="AB102" s="120"/>
      <c r="AC102" s="120" t="str">
        <f t="shared" si="123"/>
        <v/>
      </c>
      <c r="AD102" s="120" t="str">
        <f t="shared" si="124"/>
        <v/>
      </c>
      <c r="AE102" s="120" t="str">
        <f t="shared" si="125"/>
        <v/>
      </c>
      <c r="AF102" s="120" t="str">
        <f t="shared" si="126"/>
        <v/>
      </c>
      <c r="AG102" s="120" t="str">
        <f t="shared" si="127"/>
        <v/>
      </c>
      <c r="AH102" s="120" t="str">
        <f t="shared" si="128"/>
        <v/>
      </c>
      <c r="AI102" s="120" t="str">
        <f t="shared" si="129"/>
        <v/>
      </c>
      <c r="AJ102" s="46" t="str">
        <f t="shared" si="130"/>
        <v/>
      </c>
      <c r="AK102" s="120" t="str">
        <f t="shared" si="131"/>
        <v/>
      </c>
      <c r="AL102" s="120" t="str">
        <f t="shared" si="132"/>
        <v/>
      </c>
      <c r="AM102" s="120" t="str">
        <f t="shared" si="133"/>
        <v/>
      </c>
      <c r="AN102" s="211">
        <v>4</v>
      </c>
      <c r="AP102" s="39">
        <f t="shared" si="86"/>
        <v>0.167433</v>
      </c>
      <c r="AQ102" s="39">
        <f t="shared" si="87"/>
        <v>0.53859500000000005</v>
      </c>
      <c r="AR102" s="39">
        <f t="shared" si="88"/>
        <v>-0.14937</v>
      </c>
      <c r="AS102" s="39">
        <f t="shared" si="89"/>
        <v>3.9154000000000001E-2</v>
      </c>
      <c r="AT102" s="39">
        <f t="shared" si="90"/>
        <v>-3.4399999999999999E-3</v>
      </c>
      <c r="AU102" s="39">
        <f t="shared" si="91"/>
        <v>1.16E-4</v>
      </c>
      <c r="AV102" s="39">
        <f t="shared" si="92"/>
        <v>0.50785331802183031</v>
      </c>
      <c r="AX102" s="157">
        <v>13.3</v>
      </c>
      <c r="AY102" s="120">
        <f t="shared" si="93"/>
        <v>0.66500000000000004</v>
      </c>
      <c r="AZ102" s="39">
        <f t="shared" si="94"/>
        <v>0.1415148957743961</v>
      </c>
      <c r="BA102" s="118">
        <f t="shared" si="95"/>
        <v>0.2</v>
      </c>
      <c r="BB102" s="39">
        <f t="shared" si="134"/>
        <v>2.8302979154879223E-2</v>
      </c>
      <c r="BC102" s="39">
        <f t="shared" si="96"/>
        <v>0.16148393603651381</v>
      </c>
      <c r="BD102" s="39">
        <f t="shared" si="97"/>
        <v>0.33130181096578915</v>
      </c>
      <c r="BE102" s="39">
        <f t="shared" si="98"/>
        <v>0.79468370017708434</v>
      </c>
      <c r="BF102" s="39">
        <f t="shared" si="99"/>
        <v>0.46098551114287334</v>
      </c>
      <c r="BG102" s="39">
        <f t="shared" si="135"/>
        <v>0.50785331802183031</v>
      </c>
      <c r="BH102" s="39">
        <f t="shared" si="136"/>
        <v>-0.13095556831514144</v>
      </c>
      <c r="BI102" s="39">
        <f t="shared" si="137"/>
        <v>0.38415459261906115</v>
      </c>
      <c r="BK102" s="129" t="str">
        <f t="shared" si="138"/>
        <v>0</v>
      </c>
      <c r="BL102" s="120" t="str">
        <f t="shared" si="139"/>
        <v>0</v>
      </c>
      <c r="BM102" s="120" t="str">
        <f t="shared" si="140"/>
        <v>No válido</v>
      </c>
      <c r="BN102" s="36"/>
      <c r="BO102" s="129" t="str">
        <f t="shared" si="100"/>
        <v>1</v>
      </c>
      <c r="BP102" s="120" t="str">
        <f t="shared" si="141"/>
        <v>0</v>
      </c>
      <c r="BQ102" s="120" t="str">
        <f t="shared" si="101"/>
        <v>0</v>
      </c>
      <c r="BR102" s="120" t="str">
        <f t="shared" si="102"/>
        <v>No válido</v>
      </c>
      <c r="BT102" s="129" t="str">
        <f t="shared" si="142"/>
        <v>0</v>
      </c>
      <c r="BU102" s="120" t="str">
        <f t="shared" si="143"/>
        <v>1</v>
      </c>
      <c r="BV102" s="120" t="str">
        <f t="shared" si="144"/>
        <v>No válido</v>
      </c>
      <c r="BX102" s="129" t="str">
        <f t="shared" si="145"/>
        <v>1</v>
      </c>
      <c r="BY102" s="129" t="str">
        <f t="shared" si="103"/>
        <v>0</v>
      </c>
      <c r="BZ102" s="27" t="str">
        <f t="shared" si="104"/>
        <v>1</v>
      </c>
      <c r="CA102" s="120" t="str">
        <f t="shared" si="146"/>
        <v>No válido</v>
      </c>
      <c r="CC102" s="129" t="str">
        <f t="shared" si="147"/>
        <v>1</v>
      </c>
      <c r="CD102" s="129" t="str">
        <f t="shared" si="105"/>
        <v>1</v>
      </c>
      <c r="CE102" s="129" t="str">
        <f t="shared" si="106"/>
        <v>0</v>
      </c>
      <c r="CF102" s="120" t="str">
        <f t="shared" si="148"/>
        <v>No válido</v>
      </c>
    </row>
    <row r="103" spans="1:84" x14ac:dyDescent="0.25">
      <c r="A103" s="150" t="s">
        <v>80</v>
      </c>
      <c r="D103" s="120">
        <v>93</v>
      </c>
      <c r="E103" s="24">
        <f>'Cálculos - Distintas Ecuaciones'!F109</f>
        <v>24422</v>
      </c>
      <c r="F103" s="39">
        <f>'Cálculos - Distintas Ecuaciones'!Z109+Cunetas!J219</f>
        <v>0.2174577429938456</v>
      </c>
      <c r="G103" s="50" t="str">
        <f t="shared" si="107"/>
        <v>1</v>
      </c>
      <c r="H103" s="120">
        <f t="shared" si="108"/>
        <v>2.4E-2</v>
      </c>
      <c r="I103" s="20">
        <v>0.05</v>
      </c>
      <c r="J103" s="45">
        <v>1.2</v>
      </c>
      <c r="K103" s="67" t="str">
        <f t="shared" si="110"/>
        <v>Circular</v>
      </c>
      <c r="L103" s="45"/>
      <c r="M103" s="45"/>
      <c r="N103" s="5">
        <v>0.24638548193486642</v>
      </c>
      <c r="O103" s="5">
        <f t="shared" si="111"/>
        <v>1.8810659571696269</v>
      </c>
      <c r="P103" s="5">
        <f t="shared" si="112"/>
        <v>0.96944679609262374</v>
      </c>
      <c r="Q103" s="5">
        <f t="shared" si="113"/>
        <v>0.16718664149549234</v>
      </c>
      <c r="R103" s="5">
        <f t="shared" si="114"/>
        <v>1.1286395743017761</v>
      </c>
      <c r="S103" s="5">
        <f t="shared" si="115"/>
        <v>0.14813111758811134</v>
      </c>
      <c r="T103" s="117">
        <f t="shared" si="116"/>
        <v>1.000000004383361</v>
      </c>
      <c r="U103" s="5">
        <f t="shared" si="117"/>
        <v>1.300688506262677</v>
      </c>
      <c r="V103" s="39">
        <f t="shared" si="118"/>
        <v>1.2432945291361004E-2</v>
      </c>
      <c r="W103" s="46" t="str">
        <f t="shared" si="119"/>
        <v>Aceptable</v>
      </c>
      <c r="X103" s="5">
        <f t="shared" si="120"/>
        <v>4.8203741068274623E-3</v>
      </c>
      <c r="Y103" s="5">
        <f t="shared" si="121"/>
        <v>4.8203740645685828E-3</v>
      </c>
      <c r="Z103" s="5">
        <f t="shared" si="122"/>
        <v>4.2258879555390205E-11</v>
      </c>
      <c r="AB103" s="120"/>
      <c r="AC103" s="120" t="str">
        <f t="shared" si="123"/>
        <v/>
      </c>
      <c r="AD103" s="120" t="str">
        <f t="shared" si="124"/>
        <v/>
      </c>
      <c r="AE103" s="120" t="str">
        <f t="shared" si="125"/>
        <v/>
      </c>
      <c r="AF103" s="120" t="str">
        <f t="shared" si="126"/>
        <v/>
      </c>
      <c r="AG103" s="120" t="str">
        <f t="shared" si="127"/>
        <v/>
      </c>
      <c r="AH103" s="120" t="str">
        <f t="shared" si="128"/>
        <v/>
      </c>
      <c r="AI103" s="120" t="str">
        <f t="shared" si="129"/>
        <v/>
      </c>
      <c r="AJ103" s="46" t="str">
        <f t="shared" si="130"/>
        <v/>
      </c>
      <c r="AK103" s="120" t="str">
        <f t="shared" si="131"/>
        <v/>
      </c>
      <c r="AL103" s="120" t="str">
        <f t="shared" si="132"/>
        <v/>
      </c>
      <c r="AM103" s="120" t="str">
        <f t="shared" si="133"/>
        <v/>
      </c>
      <c r="AN103" s="211">
        <v>20</v>
      </c>
      <c r="AP103" s="39">
        <f t="shared" si="86"/>
        <v>0.167433</v>
      </c>
      <c r="AQ103" s="39">
        <f t="shared" si="87"/>
        <v>0.53859500000000005</v>
      </c>
      <c r="AR103" s="39">
        <f t="shared" si="88"/>
        <v>-0.14937</v>
      </c>
      <c r="AS103" s="39">
        <f t="shared" si="89"/>
        <v>3.9154000000000001E-2</v>
      </c>
      <c r="AT103" s="39">
        <f t="shared" si="90"/>
        <v>-3.4399999999999999E-3</v>
      </c>
      <c r="AU103" s="39">
        <f t="shared" si="91"/>
        <v>1.16E-4</v>
      </c>
      <c r="AV103" s="39">
        <f t="shared" si="92"/>
        <v>0.32184252589367662</v>
      </c>
      <c r="AX103" s="157">
        <v>23.05</v>
      </c>
      <c r="AY103" s="120">
        <f t="shared" si="93"/>
        <v>1.1525000000000001</v>
      </c>
      <c r="AZ103" s="39">
        <f t="shared" si="94"/>
        <v>8.6227858834038426E-2</v>
      </c>
      <c r="BA103" s="118">
        <f t="shared" si="95"/>
        <v>0.2</v>
      </c>
      <c r="BB103" s="39">
        <f t="shared" si="134"/>
        <v>1.7245571766807685E-2</v>
      </c>
      <c r="BC103" s="39">
        <f t="shared" si="96"/>
        <v>0.28657938896587115</v>
      </c>
      <c r="BD103" s="39">
        <f t="shared" si="97"/>
        <v>0.39005281956671728</v>
      </c>
      <c r="BE103" s="39">
        <f t="shared" si="98"/>
        <v>0.72319274096743325</v>
      </c>
      <c r="BF103" s="39">
        <f t="shared" si="99"/>
        <v>-3.9254439465849611E-2</v>
      </c>
      <c r="BG103" s="39">
        <f t="shared" si="135"/>
        <v>0.32184252589367662</v>
      </c>
      <c r="BH103" s="39">
        <f t="shared" si="136"/>
        <v>-0.69221456175526963</v>
      </c>
      <c r="BI103" s="39">
        <f t="shared" si="137"/>
        <v>-3.2712032888208009E-2</v>
      </c>
      <c r="BK103" s="129" t="str">
        <f t="shared" si="138"/>
        <v>0</v>
      </c>
      <c r="BL103" s="120" t="str">
        <f t="shared" si="139"/>
        <v>0</v>
      </c>
      <c r="BM103" s="120" t="str">
        <f t="shared" si="140"/>
        <v>No válido</v>
      </c>
      <c r="BN103" s="36"/>
      <c r="BO103" s="129" t="str">
        <f t="shared" si="100"/>
        <v>1</v>
      </c>
      <c r="BP103" s="120" t="str">
        <f t="shared" si="141"/>
        <v>1</v>
      </c>
      <c r="BQ103" s="120" t="str">
        <f t="shared" si="101"/>
        <v>0</v>
      </c>
      <c r="BR103" s="120" t="str">
        <f t="shared" si="102"/>
        <v>No válido</v>
      </c>
      <c r="BT103" s="129" t="str">
        <f t="shared" si="142"/>
        <v>0</v>
      </c>
      <c r="BU103" s="120" t="str">
        <f t="shared" si="143"/>
        <v>1</v>
      </c>
      <c r="BV103" s="120" t="str">
        <f t="shared" si="144"/>
        <v>No válido</v>
      </c>
      <c r="BX103" s="129" t="str">
        <f t="shared" si="145"/>
        <v>1</v>
      </c>
      <c r="BY103" s="129" t="str">
        <f t="shared" si="103"/>
        <v>0</v>
      </c>
      <c r="BZ103" s="27" t="str">
        <f t="shared" si="104"/>
        <v>1</v>
      </c>
      <c r="CA103" s="120" t="str">
        <f t="shared" si="146"/>
        <v>No válido</v>
      </c>
      <c r="CC103" s="129" t="str">
        <f t="shared" si="147"/>
        <v>1</v>
      </c>
      <c r="CD103" s="129" t="str">
        <f t="shared" si="105"/>
        <v>1</v>
      </c>
      <c r="CE103" s="129" t="str">
        <f t="shared" si="106"/>
        <v>0</v>
      </c>
      <c r="CF103" s="120" t="str">
        <f t="shared" si="148"/>
        <v>No válido</v>
      </c>
    </row>
    <row r="104" spans="1:84" x14ac:dyDescent="0.25">
      <c r="A104" s="150" t="s">
        <v>80</v>
      </c>
      <c r="D104" s="120">
        <v>94</v>
      </c>
      <c r="E104" s="24">
        <f>'Cálculos - Distintas Ecuaciones'!F110</f>
        <v>24526.1</v>
      </c>
      <c r="F104" s="39">
        <f>'Cálculos - Distintas Ecuaciones'!Z110+Cunetas!J220+Cunetas!J221</f>
        <v>0.13362575090487278</v>
      </c>
      <c r="G104" s="50" t="str">
        <f t="shared" si="107"/>
        <v>1</v>
      </c>
      <c r="H104" s="120">
        <f t="shared" si="108"/>
        <v>2.4E-2</v>
      </c>
      <c r="I104" s="20">
        <v>0.05</v>
      </c>
      <c r="J104" s="45">
        <v>1.2</v>
      </c>
      <c r="K104" s="67" t="str">
        <f t="shared" si="110"/>
        <v>Circular</v>
      </c>
      <c r="L104" s="45"/>
      <c r="M104" s="45"/>
      <c r="N104" s="5">
        <v>0.19224440259551451</v>
      </c>
      <c r="O104" s="5">
        <f t="shared" si="111"/>
        <v>1.6471782027927286</v>
      </c>
      <c r="P104" s="5">
        <f t="shared" si="112"/>
        <v>0.88030761165699623</v>
      </c>
      <c r="Q104" s="5">
        <f t="shared" si="113"/>
        <v>0.11701689845723404</v>
      </c>
      <c r="R104" s="5">
        <f t="shared" si="114"/>
        <v>0.98830692167563716</v>
      </c>
      <c r="S104" s="5">
        <f t="shared" si="115"/>
        <v>0.11840137500892566</v>
      </c>
      <c r="T104" s="117">
        <f t="shared" si="116"/>
        <v>1.0000000211402098</v>
      </c>
      <c r="U104" s="5">
        <f t="shared" si="117"/>
        <v>1.1419355039025303</v>
      </c>
      <c r="V104" s="39">
        <f t="shared" si="118"/>
        <v>1.2919031995145715E-2</v>
      </c>
      <c r="W104" s="46" t="str">
        <f t="shared" si="119"/>
        <v>Aceptable</v>
      </c>
      <c r="X104" s="5">
        <f t="shared" si="120"/>
        <v>1.820167309367085E-3</v>
      </c>
      <c r="Y104" s="5">
        <f t="shared" si="121"/>
        <v>1.8201672324096498E-3</v>
      </c>
      <c r="Z104" s="5">
        <f t="shared" si="122"/>
        <v>7.695743521607401E-11</v>
      </c>
      <c r="AB104" s="120"/>
      <c r="AC104" s="120" t="str">
        <f t="shared" si="123"/>
        <v/>
      </c>
      <c r="AD104" s="120" t="str">
        <f t="shared" si="124"/>
        <v/>
      </c>
      <c r="AE104" s="120" t="str">
        <f t="shared" si="125"/>
        <v/>
      </c>
      <c r="AF104" s="120" t="str">
        <f t="shared" si="126"/>
        <v/>
      </c>
      <c r="AG104" s="120" t="str">
        <f t="shared" si="127"/>
        <v/>
      </c>
      <c r="AH104" s="120" t="str">
        <f t="shared" si="128"/>
        <v/>
      </c>
      <c r="AI104" s="120" t="str">
        <f t="shared" si="129"/>
        <v/>
      </c>
      <c r="AJ104" s="46" t="str">
        <f t="shared" si="130"/>
        <v/>
      </c>
      <c r="AK104" s="120" t="str">
        <f t="shared" si="131"/>
        <v/>
      </c>
      <c r="AL104" s="120" t="str">
        <f t="shared" si="132"/>
        <v/>
      </c>
      <c r="AM104" s="120" t="str">
        <f t="shared" si="133"/>
        <v/>
      </c>
      <c r="AN104" s="211">
        <v>11</v>
      </c>
      <c r="AP104" s="39">
        <f t="shared" si="86"/>
        <v>0.167433</v>
      </c>
      <c r="AQ104" s="39">
        <f t="shared" si="87"/>
        <v>0.53859500000000005</v>
      </c>
      <c r="AR104" s="39">
        <f t="shared" si="88"/>
        <v>-0.14937</v>
      </c>
      <c r="AS104" s="39">
        <f t="shared" si="89"/>
        <v>3.9154000000000001E-2</v>
      </c>
      <c r="AT104" s="39">
        <f t="shared" si="90"/>
        <v>-3.4399999999999999E-3</v>
      </c>
      <c r="AU104" s="39">
        <f t="shared" si="91"/>
        <v>1.16E-4</v>
      </c>
      <c r="AV104" s="39">
        <f t="shared" si="92"/>
        <v>0.26603549221099887</v>
      </c>
      <c r="AX104" s="157">
        <v>11.1</v>
      </c>
      <c r="AY104" s="120">
        <f t="shared" si="93"/>
        <v>0.55500000000000005</v>
      </c>
      <c r="AZ104" s="39">
        <f t="shared" si="94"/>
        <v>6.6463643989455951E-2</v>
      </c>
      <c r="BA104" s="118">
        <f t="shared" si="95"/>
        <v>0.2</v>
      </c>
      <c r="BB104" s="39">
        <f t="shared" si="134"/>
        <v>1.3292728797891191E-2</v>
      </c>
      <c r="BC104" s="39">
        <f t="shared" si="96"/>
        <v>0.1434012551461174</v>
      </c>
      <c r="BD104" s="39">
        <f t="shared" si="97"/>
        <v>0.22315762793346455</v>
      </c>
      <c r="BE104" s="39">
        <f t="shared" si="98"/>
        <v>0.69612220129775726</v>
      </c>
      <c r="BF104" s="39">
        <f t="shared" si="99"/>
        <v>0.36427982923122182</v>
      </c>
      <c r="BG104" s="39">
        <f t="shared" si="135"/>
        <v>0.36427982923122182</v>
      </c>
      <c r="BH104" s="39">
        <f t="shared" si="136"/>
        <v>-0.15893347564064852</v>
      </c>
      <c r="BI104" s="39">
        <f t="shared" si="137"/>
        <v>0.30356652435935155</v>
      </c>
      <c r="BK104" s="129" t="str">
        <f t="shared" si="138"/>
        <v>0</v>
      </c>
      <c r="BL104" s="120" t="str">
        <f t="shared" si="139"/>
        <v>0</v>
      </c>
      <c r="BM104" s="120" t="str">
        <f t="shared" si="140"/>
        <v>No válido</v>
      </c>
      <c r="BN104" s="36"/>
      <c r="BO104" s="129" t="str">
        <f t="shared" si="100"/>
        <v>1</v>
      </c>
      <c r="BP104" s="120" t="str">
        <f t="shared" si="141"/>
        <v>0</v>
      </c>
      <c r="BQ104" s="120" t="str">
        <f t="shared" si="101"/>
        <v>0</v>
      </c>
      <c r="BR104" s="120" t="str">
        <f t="shared" si="102"/>
        <v>No válido</v>
      </c>
      <c r="BT104" s="129" t="str">
        <f t="shared" si="142"/>
        <v>0</v>
      </c>
      <c r="BU104" s="120" t="str">
        <f t="shared" si="143"/>
        <v>1</v>
      </c>
      <c r="BV104" s="120" t="str">
        <f t="shared" si="144"/>
        <v>No válido</v>
      </c>
      <c r="BX104" s="129" t="str">
        <f t="shared" si="145"/>
        <v>1</v>
      </c>
      <c r="BY104" s="129" t="str">
        <f t="shared" si="103"/>
        <v>0</v>
      </c>
      <c r="BZ104" s="27" t="str">
        <f t="shared" si="104"/>
        <v>1</v>
      </c>
      <c r="CA104" s="120" t="str">
        <f t="shared" si="146"/>
        <v>No válido</v>
      </c>
      <c r="CC104" s="129" t="str">
        <f t="shared" si="147"/>
        <v>1</v>
      </c>
      <c r="CD104" s="129" t="str">
        <f t="shared" si="105"/>
        <v>1</v>
      </c>
      <c r="CE104" s="129" t="str">
        <f t="shared" si="106"/>
        <v>0</v>
      </c>
      <c r="CF104" s="120" t="str">
        <f t="shared" si="148"/>
        <v>No válido</v>
      </c>
    </row>
    <row r="105" spans="1:84" x14ac:dyDescent="0.25">
      <c r="A105" s="150" t="s">
        <v>80</v>
      </c>
      <c r="D105" s="120">
        <v>95</v>
      </c>
      <c r="E105" s="24">
        <f>'Cálculos - Distintas Ecuaciones'!F111</f>
        <v>24618.5</v>
      </c>
      <c r="F105" s="39">
        <f>'Cálculos - Distintas Ecuaciones'!Z111+Cunetas!J222</f>
        <v>0.23094390257515224</v>
      </c>
      <c r="G105" s="50" t="str">
        <f t="shared" si="107"/>
        <v>1</v>
      </c>
      <c r="H105" s="120">
        <f t="shared" si="108"/>
        <v>2.4E-2</v>
      </c>
      <c r="I105" s="20">
        <v>0.05</v>
      </c>
      <c r="J105" s="45">
        <v>1.2</v>
      </c>
      <c r="K105" s="67" t="str">
        <f t="shared" si="110"/>
        <v>Circular</v>
      </c>
      <c r="L105" s="45"/>
      <c r="M105" s="45"/>
      <c r="N105" s="5">
        <v>0.25407871026795992</v>
      </c>
      <c r="O105" s="5">
        <f t="shared" si="111"/>
        <v>1.9126283436200628</v>
      </c>
      <c r="P105" s="5">
        <f t="shared" si="112"/>
        <v>0.9804865349613362</v>
      </c>
      <c r="Q105" s="5">
        <f t="shared" si="113"/>
        <v>0.17468751848224906</v>
      </c>
      <c r="R105" s="5">
        <f t="shared" si="114"/>
        <v>1.1475770061720376</v>
      </c>
      <c r="S105" s="5">
        <f t="shared" si="115"/>
        <v>0.1522229162337024</v>
      </c>
      <c r="T105" s="117">
        <f t="shared" si="116"/>
        <v>1.0000000008761276</v>
      </c>
      <c r="U105" s="5">
        <f t="shared" si="117"/>
        <v>1.3220400895363322</v>
      </c>
      <c r="V105" s="39">
        <f t="shared" si="118"/>
        <v>1.238620745123572E-2</v>
      </c>
      <c r="W105" s="46" t="str">
        <f t="shared" si="119"/>
        <v>Aceptable</v>
      </c>
      <c r="X105" s="5">
        <f t="shared" si="120"/>
        <v>5.4368079649991241E-3</v>
      </c>
      <c r="Y105" s="5">
        <f t="shared" si="121"/>
        <v>5.4368079554724504E-3</v>
      </c>
      <c r="Z105" s="5">
        <f t="shared" si="122"/>
        <v>9.5266737207277963E-12</v>
      </c>
      <c r="AB105" s="120"/>
      <c r="AC105" s="120" t="str">
        <f t="shared" si="123"/>
        <v/>
      </c>
      <c r="AD105" s="120" t="str">
        <f t="shared" si="124"/>
        <v/>
      </c>
      <c r="AE105" s="120" t="str">
        <f t="shared" si="125"/>
        <v/>
      </c>
      <c r="AF105" s="120" t="str">
        <f t="shared" si="126"/>
        <v/>
      </c>
      <c r="AG105" s="120" t="str">
        <f t="shared" si="127"/>
        <v/>
      </c>
      <c r="AH105" s="120" t="str">
        <f t="shared" si="128"/>
        <v/>
      </c>
      <c r="AI105" s="120" t="str">
        <f t="shared" si="129"/>
        <v/>
      </c>
      <c r="AJ105" s="46" t="str">
        <f t="shared" si="130"/>
        <v/>
      </c>
      <c r="AK105" s="120" t="str">
        <f t="shared" si="131"/>
        <v/>
      </c>
      <c r="AL105" s="120" t="str">
        <f t="shared" si="132"/>
        <v/>
      </c>
      <c r="AM105" s="120" t="str">
        <f t="shared" si="133"/>
        <v/>
      </c>
      <c r="AN105" s="211">
        <v>22</v>
      </c>
      <c r="AP105" s="39">
        <f t="shared" si="86"/>
        <v>0.167433</v>
      </c>
      <c r="AQ105" s="39">
        <f t="shared" si="87"/>
        <v>0.53859500000000005</v>
      </c>
      <c r="AR105" s="39">
        <f t="shared" si="88"/>
        <v>-0.14937</v>
      </c>
      <c r="AS105" s="39">
        <f t="shared" si="89"/>
        <v>3.9154000000000001E-2</v>
      </c>
      <c r="AT105" s="39">
        <f t="shared" si="90"/>
        <v>-3.4399999999999999E-3</v>
      </c>
      <c r="AU105" s="39">
        <f t="shared" si="91"/>
        <v>1.16E-4</v>
      </c>
      <c r="AV105" s="39">
        <f t="shared" si="92"/>
        <v>0.33056231256961388</v>
      </c>
      <c r="AX105" s="157">
        <v>23.8</v>
      </c>
      <c r="AY105" s="120">
        <f t="shared" si="93"/>
        <v>1.1900000000000002</v>
      </c>
      <c r="AZ105" s="39">
        <f t="shared" si="94"/>
        <v>8.908205903879883E-2</v>
      </c>
      <c r="BA105" s="118">
        <f t="shared" si="95"/>
        <v>0.2</v>
      </c>
      <c r="BB105" s="39">
        <f t="shared" si="134"/>
        <v>1.7816411807759766E-2</v>
      </c>
      <c r="BC105" s="39">
        <f t="shared" si="96"/>
        <v>0.29479173733941016</v>
      </c>
      <c r="BD105" s="39">
        <f t="shared" si="97"/>
        <v>0.40169020818596879</v>
      </c>
      <c r="BE105" s="39">
        <f t="shared" si="98"/>
        <v>0.72703935513397999</v>
      </c>
      <c r="BF105" s="39">
        <f t="shared" si="99"/>
        <v>-6.1270436680051388E-2</v>
      </c>
      <c r="BG105" s="39">
        <f t="shared" si="135"/>
        <v>0.33056231256961388</v>
      </c>
      <c r="BH105" s="39">
        <f t="shared" si="136"/>
        <v>-0.71619807285865522</v>
      </c>
      <c r="BI105" s="39">
        <f t="shared" si="137"/>
        <v>-5.1058697233376159E-2</v>
      </c>
      <c r="BK105" s="129" t="str">
        <f t="shared" si="138"/>
        <v>0</v>
      </c>
      <c r="BL105" s="120" t="str">
        <f t="shared" si="139"/>
        <v>0</v>
      </c>
      <c r="BM105" s="120" t="str">
        <f t="shared" si="140"/>
        <v>No válido</v>
      </c>
      <c r="BN105" s="36"/>
      <c r="BO105" s="129" t="str">
        <f t="shared" si="100"/>
        <v>1</v>
      </c>
      <c r="BP105" s="120" t="str">
        <f t="shared" si="141"/>
        <v>1</v>
      </c>
      <c r="BQ105" s="120" t="str">
        <f t="shared" si="101"/>
        <v>0</v>
      </c>
      <c r="BR105" s="120" t="str">
        <f t="shared" si="102"/>
        <v>No válido</v>
      </c>
      <c r="BT105" s="129" t="str">
        <f t="shared" si="142"/>
        <v>0</v>
      </c>
      <c r="BU105" s="120" t="str">
        <f t="shared" si="143"/>
        <v>1</v>
      </c>
      <c r="BV105" s="120" t="str">
        <f t="shared" si="144"/>
        <v>No válido</v>
      </c>
      <c r="BX105" s="129" t="str">
        <f t="shared" si="145"/>
        <v>1</v>
      </c>
      <c r="BY105" s="129" t="str">
        <f t="shared" si="103"/>
        <v>0</v>
      </c>
      <c r="BZ105" s="27" t="str">
        <f t="shared" si="104"/>
        <v>1</v>
      </c>
      <c r="CA105" s="120" t="str">
        <f t="shared" si="146"/>
        <v>No válido</v>
      </c>
      <c r="CC105" s="129" t="str">
        <f t="shared" si="147"/>
        <v>1</v>
      </c>
      <c r="CD105" s="129" t="str">
        <f t="shared" si="105"/>
        <v>1</v>
      </c>
      <c r="CE105" s="129" t="str">
        <f t="shared" si="106"/>
        <v>0</v>
      </c>
      <c r="CF105" s="120" t="str">
        <f t="shared" si="148"/>
        <v>No válido</v>
      </c>
    </row>
    <row r="106" spans="1:84" x14ac:dyDescent="0.25">
      <c r="A106" s="150" t="s">
        <v>80</v>
      </c>
      <c r="D106" s="120">
        <v>96</v>
      </c>
      <c r="E106" s="24">
        <f>'Cálculos - Distintas Ecuaciones'!F112</f>
        <v>24746.400000000001</v>
      </c>
      <c r="F106" s="39">
        <f>'Cálculos - Distintas Ecuaciones'!Z112+Cunetas!J223+Cunetas!J224+Cunetas!J225</f>
        <v>0.37732923060816115</v>
      </c>
      <c r="G106" s="50" t="str">
        <f t="shared" si="107"/>
        <v>1</v>
      </c>
      <c r="H106" s="120">
        <f t="shared" si="108"/>
        <v>2.4E-2</v>
      </c>
      <c r="I106" s="20">
        <v>0.05</v>
      </c>
      <c r="J106" s="45">
        <v>1.2</v>
      </c>
      <c r="K106" s="67" t="str">
        <f t="shared" si="110"/>
        <v>Circular</v>
      </c>
      <c r="L106" s="45"/>
      <c r="M106" s="45"/>
      <c r="N106" s="5">
        <v>0.32680730981784079</v>
      </c>
      <c r="O106" s="5">
        <f t="shared" si="111"/>
        <v>2.1961268710503701</v>
      </c>
      <c r="P106" s="5">
        <f t="shared" si="112"/>
        <v>1.0683927256042784</v>
      </c>
      <c r="Q106" s="5">
        <f t="shared" si="113"/>
        <v>0.24936429534962545</v>
      </c>
      <c r="R106" s="5">
        <f t="shared" si="114"/>
        <v>1.317676122630222</v>
      </c>
      <c r="S106" s="5">
        <f t="shared" si="115"/>
        <v>0.18924551417981814</v>
      </c>
      <c r="T106" s="117">
        <f t="shared" si="116"/>
        <v>1.000000005356332</v>
      </c>
      <c r="U106" s="5">
        <f t="shared" si="117"/>
        <v>1.5131646255897231</v>
      </c>
      <c r="V106" s="39">
        <f t="shared" si="118"/>
        <v>1.2138379686459012E-2</v>
      </c>
      <c r="W106" s="46" t="str">
        <f t="shared" si="119"/>
        <v>Aceptable</v>
      </c>
      <c r="X106" s="5">
        <f t="shared" si="120"/>
        <v>1.45134911591587E-2</v>
      </c>
      <c r="Y106" s="5">
        <f t="shared" si="121"/>
        <v>1.4513491003680547E-2</v>
      </c>
      <c r="Z106" s="5">
        <f t="shared" si="122"/>
        <v>1.5547815292171752E-10</v>
      </c>
      <c r="AB106" s="120"/>
      <c r="AC106" s="120" t="str">
        <f t="shared" si="123"/>
        <v/>
      </c>
      <c r="AD106" s="120" t="str">
        <f t="shared" si="124"/>
        <v/>
      </c>
      <c r="AE106" s="120" t="str">
        <f t="shared" si="125"/>
        <v/>
      </c>
      <c r="AF106" s="120" t="str">
        <f t="shared" si="126"/>
        <v/>
      </c>
      <c r="AG106" s="120" t="str">
        <f t="shared" si="127"/>
        <v/>
      </c>
      <c r="AH106" s="120" t="str">
        <f t="shared" si="128"/>
        <v/>
      </c>
      <c r="AI106" s="120" t="str">
        <f t="shared" si="129"/>
        <v/>
      </c>
      <c r="AJ106" s="46" t="str">
        <f t="shared" si="130"/>
        <v/>
      </c>
      <c r="AK106" s="120" t="str">
        <f t="shared" si="131"/>
        <v/>
      </c>
      <c r="AL106" s="120" t="str">
        <f t="shared" si="132"/>
        <v/>
      </c>
      <c r="AM106" s="120" t="str">
        <f t="shared" si="133"/>
        <v/>
      </c>
      <c r="AN106" s="211">
        <v>0</v>
      </c>
      <c r="AP106" s="39">
        <f t="shared" si="86"/>
        <v>0.167433</v>
      </c>
      <c r="AQ106" s="39">
        <f t="shared" si="87"/>
        <v>0.53859500000000005</v>
      </c>
      <c r="AR106" s="39">
        <f t="shared" si="88"/>
        <v>-0.14937</v>
      </c>
      <c r="AS106" s="39">
        <f t="shared" si="89"/>
        <v>3.9154000000000001E-2</v>
      </c>
      <c r="AT106" s="39">
        <f t="shared" si="90"/>
        <v>-3.4399999999999999E-3</v>
      </c>
      <c r="AU106" s="39">
        <f t="shared" si="91"/>
        <v>1.16E-4</v>
      </c>
      <c r="AV106" s="39">
        <f t="shared" si="92"/>
        <v>0.42097864983089395</v>
      </c>
      <c r="AX106" s="157">
        <v>49.05</v>
      </c>
      <c r="AY106" s="120">
        <f t="shared" si="93"/>
        <v>2.4525000000000001</v>
      </c>
      <c r="AZ106" s="39">
        <f t="shared" si="94"/>
        <v>0.11670067197431636</v>
      </c>
      <c r="BA106" s="118">
        <f t="shared" si="95"/>
        <v>0.2</v>
      </c>
      <c r="BB106" s="39">
        <f t="shared" si="134"/>
        <v>2.3340134394863273E-2</v>
      </c>
      <c r="BC106" s="39">
        <f t="shared" si="96"/>
        <v>0.59538752362081437</v>
      </c>
      <c r="BD106" s="39">
        <f t="shared" si="97"/>
        <v>0.73542832998999397</v>
      </c>
      <c r="BE106" s="39">
        <f t="shared" si="98"/>
        <v>0.76340365490892037</v>
      </c>
      <c r="BF106" s="39">
        <f t="shared" si="99"/>
        <v>-0.95366801510108568</v>
      </c>
      <c r="BG106" s="39">
        <f t="shared" si="135"/>
        <v>0.42097864983089395</v>
      </c>
      <c r="BH106" s="39">
        <f t="shared" si="136"/>
        <v>-1.6929344584742554</v>
      </c>
      <c r="BI106" s="39">
        <f t="shared" si="137"/>
        <v>-0.79472334591757143</v>
      </c>
      <c r="BK106" s="129" t="str">
        <f t="shared" si="138"/>
        <v>0</v>
      </c>
      <c r="BL106" s="120" t="str">
        <f t="shared" si="139"/>
        <v>0</v>
      </c>
      <c r="BM106" s="120" t="str">
        <f t="shared" si="140"/>
        <v>No válido</v>
      </c>
      <c r="BN106" s="36"/>
      <c r="BO106" s="129" t="str">
        <f t="shared" si="100"/>
        <v>1</v>
      </c>
      <c r="BP106" s="120" t="str">
        <f t="shared" si="141"/>
        <v>1</v>
      </c>
      <c r="BQ106" s="120" t="str">
        <f t="shared" si="101"/>
        <v>0</v>
      </c>
      <c r="BR106" s="120" t="str">
        <f t="shared" si="102"/>
        <v>No válido</v>
      </c>
      <c r="BT106" s="129" t="str">
        <f t="shared" si="142"/>
        <v>0</v>
      </c>
      <c r="BU106" s="120" t="str">
        <f t="shared" si="143"/>
        <v>1</v>
      </c>
      <c r="BV106" s="120" t="str">
        <f t="shared" si="144"/>
        <v>No válido</v>
      </c>
      <c r="BX106" s="129" t="str">
        <f t="shared" si="145"/>
        <v>1</v>
      </c>
      <c r="BY106" s="129" t="str">
        <f t="shared" si="103"/>
        <v>0</v>
      </c>
      <c r="BZ106" s="27" t="str">
        <f t="shared" si="104"/>
        <v>1</v>
      </c>
      <c r="CA106" s="120" t="str">
        <f t="shared" si="146"/>
        <v>No válido</v>
      </c>
      <c r="CC106" s="129" t="str">
        <f t="shared" si="147"/>
        <v>1</v>
      </c>
      <c r="CD106" s="129" t="str">
        <f t="shared" si="105"/>
        <v>1</v>
      </c>
      <c r="CE106" s="129" t="str">
        <f t="shared" si="106"/>
        <v>0</v>
      </c>
      <c r="CF106" s="120" t="str">
        <f t="shared" si="148"/>
        <v>No válido</v>
      </c>
    </row>
    <row r="107" spans="1:84" x14ac:dyDescent="0.25">
      <c r="A107" s="150" t="s">
        <v>80</v>
      </c>
      <c r="D107" s="120">
        <v>97</v>
      </c>
      <c r="E107" s="24">
        <f>'Cálculos - Distintas Ecuaciones'!F113</f>
        <v>24917.200000000001</v>
      </c>
      <c r="F107" s="39">
        <f>'Cálculos - Distintas Ecuaciones'!Z113+Cunetas!J226</f>
        <v>0.16931597162542408</v>
      </c>
      <c r="G107" s="50" t="str">
        <f t="shared" si="107"/>
        <v>1</v>
      </c>
      <c r="H107" s="120">
        <f t="shared" si="108"/>
        <v>2.4E-2</v>
      </c>
      <c r="I107" s="20">
        <v>0.05</v>
      </c>
      <c r="J107" s="45">
        <v>1.2</v>
      </c>
      <c r="K107" s="67" t="str">
        <f t="shared" si="110"/>
        <v>Circular</v>
      </c>
      <c r="L107" s="45"/>
      <c r="M107" s="45"/>
      <c r="N107" s="5">
        <v>0.21685758772552294</v>
      </c>
      <c r="O107" s="5">
        <f t="shared" si="111"/>
        <v>1.7563135996041324</v>
      </c>
      <c r="P107" s="5">
        <f t="shared" si="112"/>
        <v>0.92347580784012884</v>
      </c>
      <c r="Q107" s="5">
        <f t="shared" si="113"/>
        <v>0.13922507358224964</v>
      </c>
      <c r="R107" s="5">
        <f t="shared" si="114"/>
        <v>1.0537881597624794</v>
      </c>
      <c r="S107" s="5">
        <f t="shared" si="115"/>
        <v>0.13211865429730255</v>
      </c>
      <c r="T107" s="117">
        <f t="shared" si="116"/>
        <v>1.000000001675676</v>
      </c>
      <c r="U107" s="5">
        <f t="shared" si="117"/>
        <v>1.2161313136271945</v>
      </c>
      <c r="V107" s="39">
        <f t="shared" si="118"/>
        <v>1.2659928033312133E-2</v>
      </c>
      <c r="W107" s="46" t="str">
        <f t="shared" si="119"/>
        <v>Aceptable</v>
      </c>
      <c r="X107" s="5">
        <f t="shared" si="120"/>
        <v>2.922313786693314E-3</v>
      </c>
      <c r="Y107" s="5">
        <f t="shared" si="121"/>
        <v>2.9223137768996112E-3</v>
      </c>
      <c r="Z107" s="5">
        <f t="shared" si="122"/>
        <v>9.7937027411509892E-12</v>
      </c>
      <c r="AB107" s="120"/>
      <c r="AC107" s="120" t="str">
        <f t="shared" si="123"/>
        <v/>
      </c>
      <c r="AD107" s="120" t="str">
        <f t="shared" si="124"/>
        <v/>
      </c>
      <c r="AE107" s="120" t="str">
        <f t="shared" si="125"/>
        <v/>
      </c>
      <c r="AF107" s="120" t="str">
        <f t="shared" si="126"/>
        <v/>
      </c>
      <c r="AG107" s="120" t="str">
        <f t="shared" si="127"/>
        <v/>
      </c>
      <c r="AH107" s="120" t="str">
        <f t="shared" si="128"/>
        <v/>
      </c>
      <c r="AI107" s="120" t="str">
        <f t="shared" si="129"/>
        <v/>
      </c>
      <c r="AJ107" s="46" t="str">
        <f t="shared" si="130"/>
        <v/>
      </c>
      <c r="AK107" s="120" t="str">
        <f t="shared" si="131"/>
        <v/>
      </c>
      <c r="AL107" s="120" t="str">
        <f t="shared" si="132"/>
        <v/>
      </c>
      <c r="AM107" s="120" t="str">
        <f t="shared" si="133"/>
        <v/>
      </c>
      <c r="AN107" s="211">
        <v>20</v>
      </c>
      <c r="AP107" s="39">
        <f t="shared" ref="AP107:AP120" si="149">IF(G107="1",0.167433,IF(G107="2",0.072493,""))</f>
        <v>0.167433</v>
      </c>
      <c r="AQ107" s="39">
        <f t="shared" ref="AQ107:AQ120" si="150">IF(G107="1",0.538595,IF(G107="2",0.507087,""))</f>
        <v>0.53859500000000005</v>
      </c>
      <c r="AR107" s="39">
        <f t="shared" ref="AR107:AR120" si="151">IF(G107="1",-0.14937,IF(G107="2",-0.11747,""))</f>
        <v>-0.14937</v>
      </c>
      <c r="AS107" s="39">
        <f t="shared" ref="AS107:AS120" si="152">IF(G107="1",0.039154,IF(G107="2",0.02217,""))</f>
        <v>3.9154000000000001E-2</v>
      </c>
      <c r="AT107" s="39">
        <f t="shared" ref="AT107:AT120" si="153">IF(G107="1",-0.00344,IF(G107="2",-0.00149,""))</f>
        <v>-3.4399999999999999E-3</v>
      </c>
      <c r="AU107" s="39">
        <f t="shared" ref="AU107:AU120" si="154">IF(G107="1",0.000116,IF(G107="2",0.000038,""))</f>
        <v>1.16E-4</v>
      </c>
      <c r="AV107" s="39">
        <f t="shared" ref="AV107:AV120" si="155">IF(G107="1",J107*(AP107+(AQ107*$AQ$5*(F107/(J107^(5/2))))+(AR107*($AQ$5*(F107/(J107^(5/2))))^2)+(AS107*($AQ$5*(F107/(J107^(5/2))))^3)+(AT107*($AQ$5*(F107/(J107^(5/2))))^4)+(AU107*($AQ$5*(F107/(J107^(5/2))))^5)-(0.5*I107)),IF(G107="2",L107*(AP107+(AQ107*$AQ$5*(F107/(M107*L107^(3/2))))+(AR107*($AQ$5*(F107/(M107*L107^(3/2))))^2)+(AS107*($AQ$5*(F107/(M107*L107^(3/2))))^3)+(AT107*($AQ$5*(F107/(M107*L107^(3/2))))^4)+(AU107*($AQ$5*(F107/(M107*L107^(3/2))))^5)-(0.5*I107)),""))</f>
        <v>0.29013918736418426</v>
      </c>
      <c r="AX107" s="157">
        <v>14.4</v>
      </c>
      <c r="AY107" s="120">
        <f t="shared" ref="AY107:AY120" si="156">AX107*I107</f>
        <v>0.72000000000000008</v>
      </c>
      <c r="AZ107" s="39">
        <f t="shared" ref="AZ107:AZ120" si="157">IF(G107="1",(U107^2)/(2*9.81),IF(G107="2",(AH107^2)/(2*9.81),""))</f>
        <v>7.5381007746412113E-2</v>
      </c>
      <c r="BA107" s="118">
        <f t="shared" ref="BA107:BA120" si="158">IF(G107="1",0.2,IF(G107="2",0.5,""))</f>
        <v>0.2</v>
      </c>
      <c r="BB107" s="39">
        <f t="shared" si="134"/>
        <v>1.5076201549282423E-2</v>
      </c>
      <c r="BC107" s="39">
        <f t="shared" ref="BC107:BC120" si="159">IF(G107="1",AX107*((U107*H107)^2)/(S107^(4/3)),IF(G107="2",AX107*((AH107*H107)^2)/(AF107^(4/3)),""))</f>
        <v>0.18230296367969476</v>
      </c>
      <c r="BD107" s="39">
        <f t="shared" ref="BD107:BD120" si="160">AZ107+BB107+BC107</f>
        <v>0.27276017297538929</v>
      </c>
      <c r="BE107" s="39">
        <f t="shared" ref="BE107:BE120" si="161">IF(G107="1",((J107+N107)/2),((L107+AB107)/2))</f>
        <v>0.70842879386276147</v>
      </c>
      <c r="BF107" s="39">
        <f t="shared" ref="BF107:BF120" si="162">BD107+BE107-(AX107*I107)</f>
        <v>0.26118896683815074</v>
      </c>
      <c r="BG107" s="39">
        <f t="shared" si="135"/>
        <v>0.29013918736418426</v>
      </c>
      <c r="BH107" s="39">
        <f t="shared" si="136"/>
        <v>-0.35821734386317988</v>
      </c>
      <c r="BI107" s="39">
        <f t="shared" si="137"/>
        <v>0.21765747236512561</v>
      </c>
      <c r="BK107" s="129" t="str">
        <f t="shared" si="138"/>
        <v>0</v>
      </c>
      <c r="BL107" s="120" t="str">
        <f t="shared" si="139"/>
        <v>0</v>
      </c>
      <c r="BM107" s="120" t="str">
        <f t="shared" si="140"/>
        <v>No válido</v>
      </c>
      <c r="BN107" s="36"/>
      <c r="BO107" s="129" t="str">
        <f t="shared" ref="BO107:BO120" si="163">IF(BH107&lt;1.5,"1","0")</f>
        <v>1</v>
      </c>
      <c r="BP107" s="120" t="str">
        <f t="shared" si="141"/>
        <v>0</v>
      </c>
      <c r="BQ107" s="120" t="str">
        <f t="shared" ref="BQ107:BQ120" si="164">IF(G107="1",IF(I107&lt;V107,"1","0"),IF(I107&lt;AI107,"1","0"))</f>
        <v>0</v>
      </c>
      <c r="BR107" s="120" t="str">
        <f t="shared" ref="BR107:BR120" si="165">IF((BO107+BP107+BQ107)=3,"Válido","No válido")</f>
        <v>No válido</v>
      </c>
      <c r="BT107" s="129" t="str">
        <f t="shared" si="142"/>
        <v>0</v>
      </c>
      <c r="BU107" s="120" t="str">
        <f t="shared" si="143"/>
        <v>1</v>
      </c>
      <c r="BV107" s="120" t="str">
        <f t="shared" si="144"/>
        <v>No válido</v>
      </c>
      <c r="BX107" s="129" t="str">
        <f t="shared" si="145"/>
        <v>1</v>
      </c>
      <c r="BY107" s="129" t="str">
        <f t="shared" ref="BY107:BY120" si="166">IF(G107="1",IF(BE107&lt;N107,"1","0"),IF(BE107&lt;AB107,"1","0"))</f>
        <v>0</v>
      </c>
      <c r="BZ107" s="27" t="str">
        <f t="shared" ref="BZ107:BZ120" si="167">IF(G107="1",IF(I107&gt;V107,"1","0"),IF(I107&gt;AI107,"1","0"))</f>
        <v>1</v>
      </c>
      <c r="CA107" s="120" t="str">
        <f t="shared" si="146"/>
        <v>No válido</v>
      </c>
      <c r="CC107" s="129" t="str">
        <f t="shared" si="147"/>
        <v>1</v>
      </c>
      <c r="CD107" s="129" t="str">
        <f t="shared" ref="CD107:CD120" si="168">IF(G107="1",IF(BE107&gt;N107,"1","0"),IF(BE107&gt;AB107,"1","0"))</f>
        <v>1</v>
      </c>
      <c r="CE107" s="129" t="str">
        <f t="shared" ref="CE107:CE120" si="169">IF(G107="1",IF(BE107&gt;J107,"1","0"),IF(BE107&gt;L107,"1","0"))</f>
        <v>0</v>
      </c>
      <c r="CF107" s="120" t="str">
        <f t="shared" si="148"/>
        <v>No válido</v>
      </c>
    </row>
    <row r="108" spans="1:84" x14ac:dyDescent="0.25">
      <c r="A108" s="150" t="s">
        <v>80</v>
      </c>
      <c r="B108" t="s">
        <v>305</v>
      </c>
      <c r="C108" t="s">
        <v>305</v>
      </c>
      <c r="D108" s="120">
        <v>98</v>
      </c>
      <c r="E108" s="24">
        <f>'Cálculos - Distintas Ecuaciones'!F114</f>
        <v>25071.9</v>
      </c>
      <c r="F108" s="39">
        <f>'Cálculos - Distintas Ecuaciones'!Z114+Cunetas!J227+Cunetas!J228</f>
        <v>0.12330925715221104</v>
      </c>
      <c r="G108" s="50" t="str">
        <f t="shared" si="107"/>
        <v>1</v>
      </c>
      <c r="H108" s="120">
        <f t="shared" si="108"/>
        <v>2.4E-2</v>
      </c>
      <c r="I108" s="20">
        <v>0.05</v>
      </c>
      <c r="J108" s="45">
        <v>1.2</v>
      </c>
      <c r="K108" s="67" t="str">
        <f t="shared" si="110"/>
        <v>Circular</v>
      </c>
      <c r="L108" s="45"/>
      <c r="M108" s="45"/>
      <c r="N108" s="5">
        <v>0.18455264449261424</v>
      </c>
      <c r="O108" s="5">
        <f t="shared" si="111"/>
        <v>1.6119384592001806</v>
      </c>
      <c r="P108" s="5">
        <f t="shared" si="112"/>
        <v>0.86580250589131424</v>
      </c>
      <c r="Q108" s="5">
        <f t="shared" si="113"/>
        <v>0.11030124192392535</v>
      </c>
      <c r="R108" s="5">
        <f t="shared" si="114"/>
        <v>0.96716307552010838</v>
      </c>
      <c r="S108" s="5">
        <f t="shared" si="115"/>
        <v>0.1140461673070066</v>
      </c>
      <c r="T108" s="117">
        <f t="shared" si="116"/>
        <v>0.99999998494255715</v>
      </c>
      <c r="U108" s="5">
        <f t="shared" si="117"/>
        <v>1.1179317204538577</v>
      </c>
      <c r="V108" s="39">
        <f t="shared" si="118"/>
        <v>1.3016037224629929E-2</v>
      </c>
      <c r="W108" s="46" t="str">
        <f t="shared" si="119"/>
        <v>Aceptable</v>
      </c>
      <c r="X108" s="5">
        <f t="shared" si="120"/>
        <v>1.5499666564148939E-3</v>
      </c>
      <c r="Y108" s="5">
        <f t="shared" si="121"/>
        <v>1.5499667030919636E-3</v>
      </c>
      <c r="Z108" s="5">
        <f t="shared" si="122"/>
        <v>-4.6677069761441592E-11</v>
      </c>
      <c r="AB108" s="120"/>
      <c r="AC108" s="120" t="str">
        <f t="shared" si="123"/>
        <v/>
      </c>
      <c r="AD108" s="120" t="str">
        <f t="shared" si="124"/>
        <v/>
      </c>
      <c r="AE108" s="120" t="str">
        <f t="shared" si="125"/>
        <v/>
      </c>
      <c r="AF108" s="120" t="str">
        <f t="shared" si="126"/>
        <v/>
      </c>
      <c r="AG108" s="120" t="str">
        <f t="shared" si="127"/>
        <v/>
      </c>
      <c r="AH108" s="120" t="str">
        <f t="shared" si="128"/>
        <v/>
      </c>
      <c r="AI108" s="120" t="str">
        <f t="shared" si="129"/>
        <v/>
      </c>
      <c r="AJ108" s="46" t="str">
        <f t="shared" si="130"/>
        <v/>
      </c>
      <c r="AK108" s="120" t="str">
        <f t="shared" si="131"/>
        <v/>
      </c>
      <c r="AL108" s="120" t="str">
        <f t="shared" si="132"/>
        <v/>
      </c>
      <c r="AM108" s="120" t="str">
        <f t="shared" si="133"/>
        <v/>
      </c>
      <c r="AN108" s="211">
        <v>0</v>
      </c>
      <c r="AP108" s="39">
        <f t="shared" si="149"/>
        <v>0.167433</v>
      </c>
      <c r="AQ108" s="39">
        <f t="shared" si="150"/>
        <v>0.53859500000000005</v>
      </c>
      <c r="AR108" s="39">
        <f t="shared" si="151"/>
        <v>-0.14937</v>
      </c>
      <c r="AS108" s="39">
        <f t="shared" si="152"/>
        <v>3.9154000000000001E-2</v>
      </c>
      <c r="AT108" s="39">
        <f t="shared" si="153"/>
        <v>-3.4399999999999999E-3</v>
      </c>
      <c r="AU108" s="39">
        <f t="shared" si="154"/>
        <v>1.16E-4</v>
      </c>
      <c r="AV108" s="39">
        <f t="shared" si="155"/>
        <v>0.25896997049879633</v>
      </c>
      <c r="AX108" s="157">
        <v>11.4</v>
      </c>
      <c r="AY108" s="120">
        <f t="shared" si="156"/>
        <v>0.57000000000000006</v>
      </c>
      <c r="AZ108" s="39">
        <f t="shared" si="157"/>
        <v>6.369884462777381E-2</v>
      </c>
      <c r="BA108" s="118">
        <f t="shared" si="158"/>
        <v>0.2</v>
      </c>
      <c r="BB108" s="39">
        <f t="shared" si="134"/>
        <v>1.2739768925554763E-2</v>
      </c>
      <c r="BC108" s="39">
        <f t="shared" si="159"/>
        <v>0.14838282436078121</v>
      </c>
      <c r="BD108" s="39">
        <f t="shared" si="160"/>
        <v>0.22482143791410977</v>
      </c>
      <c r="BE108" s="39">
        <f t="shared" si="161"/>
        <v>0.69227632224630709</v>
      </c>
      <c r="BF108" s="39">
        <f t="shared" si="162"/>
        <v>0.34709776016041682</v>
      </c>
      <c r="BG108" s="39">
        <f t="shared" si="135"/>
        <v>0.34709776016041682</v>
      </c>
      <c r="BH108" s="39">
        <f t="shared" si="136"/>
        <v>-0.18575186653298603</v>
      </c>
      <c r="BI108" s="39">
        <f t="shared" ref="BI108:BI120" si="170">IF(G108="1",BF108/J108,IF(G108="2",BF108/L108))</f>
        <v>0.28924813346701406</v>
      </c>
      <c r="BK108" s="129" t="str">
        <f t="shared" si="138"/>
        <v>0</v>
      </c>
      <c r="BL108" s="120" t="str">
        <f t="shared" si="139"/>
        <v>0</v>
      </c>
      <c r="BM108" s="120" t="str">
        <f t="shared" si="140"/>
        <v>No válido</v>
      </c>
      <c r="BN108" s="36"/>
      <c r="BO108" s="129" t="str">
        <f t="shared" si="163"/>
        <v>1</v>
      </c>
      <c r="BP108" s="120" t="str">
        <f t="shared" ref="BP108:BP120" si="171">IF(G108="1",IF(BF108&lt;N108,"1","0"),IF(BF108&lt;AB108,"1","0"))</f>
        <v>0</v>
      </c>
      <c r="BQ108" s="120" t="str">
        <f t="shared" si="164"/>
        <v>0</v>
      </c>
      <c r="BR108" s="120" t="str">
        <f t="shared" si="165"/>
        <v>No válido</v>
      </c>
      <c r="BT108" s="129" t="str">
        <f t="shared" si="142"/>
        <v>0</v>
      </c>
      <c r="BU108" s="120" t="str">
        <f t="shared" si="143"/>
        <v>1</v>
      </c>
      <c r="BV108" s="120" t="str">
        <f t="shared" si="144"/>
        <v>No válido</v>
      </c>
      <c r="BX108" s="129" t="str">
        <f t="shared" si="145"/>
        <v>1</v>
      </c>
      <c r="BY108" s="129" t="str">
        <f t="shared" si="166"/>
        <v>0</v>
      </c>
      <c r="BZ108" s="27" t="str">
        <f t="shared" si="167"/>
        <v>1</v>
      </c>
      <c r="CA108" s="120" t="str">
        <f t="shared" si="146"/>
        <v>No válido</v>
      </c>
      <c r="CC108" s="129" t="str">
        <f t="shared" si="147"/>
        <v>1</v>
      </c>
      <c r="CD108" s="129" t="str">
        <f t="shared" si="168"/>
        <v>1</v>
      </c>
      <c r="CE108" s="129" t="str">
        <f t="shared" si="169"/>
        <v>0</v>
      </c>
      <c r="CF108" s="120" t="str">
        <f t="shared" si="148"/>
        <v>No válido</v>
      </c>
    </row>
    <row r="109" spans="1:84" x14ac:dyDescent="0.25">
      <c r="A109" s="150" t="s">
        <v>79</v>
      </c>
      <c r="B109" t="s">
        <v>305</v>
      </c>
      <c r="C109" s="116"/>
      <c r="D109" s="120">
        <v>99</v>
      </c>
      <c r="E109" s="24">
        <f>'Cálculos - Distintas Ecuaciones'!F115</f>
        <v>25478</v>
      </c>
      <c r="F109" s="39">
        <f>'Cálculos - Distintas Ecuaciones'!Z115+Cunetas!J229+Cunetas!J230</f>
        <v>8.0691346255285872</v>
      </c>
      <c r="G109" s="50" t="str">
        <f t="shared" si="107"/>
        <v>2</v>
      </c>
      <c r="H109" s="120">
        <f t="shared" si="108"/>
        <v>1.4E-2</v>
      </c>
      <c r="I109" s="20">
        <v>0.05</v>
      </c>
      <c r="J109" s="45">
        <v>1.8</v>
      </c>
      <c r="K109" s="67" t="str">
        <f t="shared" si="110"/>
        <v>Cajón</v>
      </c>
      <c r="L109" s="45">
        <v>1.5</v>
      </c>
      <c r="M109" s="45">
        <v>1.5</v>
      </c>
      <c r="N109" s="5">
        <v>1.4104925140062075</v>
      </c>
      <c r="O109" s="5" t="str">
        <f t="shared" si="111"/>
        <v/>
      </c>
      <c r="P109" s="5" t="str">
        <f t="shared" si="112"/>
        <v/>
      </c>
      <c r="Q109" s="5" t="str">
        <f t="shared" si="113"/>
        <v/>
      </c>
      <c r="R109" s="5" t="str">
        <f t="shared" si="114"/>
        <v/>
      </c>
      <c r="S109" s="5" t="str">
        <f t="shared" si="115"/>
        <v/>
      </c>
      <c r="T109" s="117" t="str">
        <f t="shared" si="116"/>
        <v/>
      </c>
      <c r="U109" s="5" t="str">
        <f t="shared" si="117"/>
        <v/>
      </c>
      <c r="V109" s="39" t="str">
        <f t="shared" si="118"/>
        <v/>
      </c>
      <c r="W109" s="46" t="str">
        <f t="shared" si="119"/>
        <v/>
      </c>
      <c r="X109" s="5" t="str">
        <f t="shared" si="120"/>
        <v/>
      </c>
      <c r="Y109" s="5" t="str">
        <f t="shared" si="121"/>
        <v/>
      </c>
      <c r="Z109" s="5" t="str">
        <f t="shared" si="122"/>
        <v/>
      </c>
      <c r="AB109" s="5">
        <v>1.4341706476536946</v>
      </c>
      <c r="AC109" s="5">
        <f t="shared" si="123"/>
        <v>1.5</v>
      </c>
      <c r="AD109" s="5">
        <f t="shared" si="124"/>
        <v>2.1512559714805422</v>
      </c>
      <c r="AE109" s="5">
        <f t="shared" si="125"/>
        <v>4.3683412953073892</v>
      </c>
      <c r="AF109" s="5">
        <f t="shared" si="126"/>
        <v>0.49246517752435909</v>
      </c>
      <c r="AG109" s="5">
        <f t="shared" si="127"/>
        <v>0.99999989374363807</v>
      </c>
      <c r="AH109" s="5">
        <f t="shared" si="128"/>
        <v>3.7508947017472911</v>
      </c>
      <c r="AI109" s="5">
        <f t="shared" si="129"/>
        <v>7.0907435830639661E-3</v>
      </c>
      <c r="AJ109" s="46" t="str">
        <f t="shared" si="130"/>
        <v>Aceptable</v>
      </c>
      <c r="AK109" s="5">
        <f t="shared" si="131"/>
        <v>2.9498673662615662</v>
      </c>
      <c r="AL109" s="5">
        <f t="shared" si="132"/>
        <v>2.9498667393772511</v>
      </c>
      <c r="AM109" s="5">
        <f t="shared" si="133"/>
        <v>6.2688431512469833E-7</v>
      </c>
      <c r="AN109" s="211">
        <v>61</v>
      </c>
      <c r="AP109" s="39">
        <f t="shared" si="149"/>
        <v>7.2493000000000002E-2</v>
      </c>
      <c r="AQ109" s="39">
        <f t="shared" si="150"/>
        <v>0.50708699999999995</v>
      </c>
      <c r="AR109" s="39">
        <f t="shared" si="151"/>
        <v>-0.11747</v>
      </c>
      <c r="AS109" s="39">
        <f t="shared" si="152"/>
        <v>2.2169999999999999E-2</v>
      </c>
      <c r="AT109" s="39">
        <f t="shared" si="153"/>
        <v>-1.49E-3</v>
      </c>
      <c r="AU109" s="39">
        <f t="shared" si="154"/>
        <v>3.8000000000000002E-5</v>
      </c>
      <c r="AV109" s="39">
        <f t="shared" si="155"/>
        <v>2.581006199440373</v>
      </c>
      <c r="AX109" s="157">
        <v>22.1</v>
      </c>
      <c r="AY109" s="120">
        <f t="shared" si="156"/>
        <v>1.1050000000000002</v>
      </c>
      <c r="AZ109" s="39">
        <f t="shared" si="157"/>
        <v>0.71708517143709982</v>
      </c>
      <c r="BA109" s="118">
        <f t="shared" si="158"/>
        <v>0.5</v>
      </c>
      <c r="BB109" s="39">
        <f t="shared" si="134"/>
        <v>0.35854258571854991</v>
      </c>
      <c r="BC109" s="39">
        <f t="shared" si="159"/>
        <v>0.15670543318571364</v>
      </c>
      <c r="BD109" s="39">
        <f t="shared" si="160"/>
        <v>1.2323331903413632</v>
      </c>
      <c r="BE109" s="39">
        <f t="shared" si="161"/>
        <v>1.4670853238268473</v>
      </c>
      <c r="BF109" s="39">
        <f t="shared" si="162"/>
        <v>1.5944185141682106</v>
      </c>
      <c r="BG109" s="39">
        <f t="shared" si="135"/>
        <v>2.581006199440373</v>
      </c>
      <c r="BH109" s="39">
        <f t="shared" si="136"/>
        <v>0.98400413296024858</v>
      </c>
      <c r="BI109" s="39">
        <f t="shared" si="170"/>
        <v>1.0629456761121403</v>
      </c>
      <c r="BK109" s="129" t="str">
        <f t="shared" si="138"/>
        <v>0</v>
      </c>
      <c r="BL109" s="120" t="str">
        <f t="shared" si="139"/>
        <v>1</v>
      </c>
      <c r="BM109" s="120" t="str">
        <f t="shared" si="140"/>
        <v>No válido</v>
      </c>
      <c r="BN109" s="36"/>
      <c r="BO109" s="129" t="str">
        <f t="shared" si="163"/>
        <v>1</v>
      </c>
      <c r="BP109" s="120" t="str">
        <f t="shared" si="171"/>
        <v>0</v>
      </c>
      <c r="BQ109" s="120" t="str">
        <f t="shared" si="164"/>
        <v>0</v>
      </c>
      <c r="BR109" s="120" t="str">
        <f t="shared" si="165"/>
        <v>No válido</v>
      </c>
      <c r="BT109" s="129" t="str">
        <f t="shared" si="142"/>
        <v>0</v>
      </c>
      <c r="BU109" s="120" t="str">
        <f t="shared" si="143"/>
        <v>0</v>
      </c>
      <c r="BV109" s="120" t="str">
        <f t="shared" si="144"/>
        <v>No válido</v>
      </c>
      <c r="BX109" s="129" t="str">
        <f t="shared" si="145"/>
        <v>1</v>
      </c>
      <c r="BY109" s="129" t="str">
        <f t="shared" si="166"/>
        <v>0</v>
      </c>
      <c r="BZ109" s="27" t="str">
        <f t="shared" si="167"/>
        <v>1</v>
      </c>
      <c r="CA109" s="120" t="str">
        <f t="shared" si="146"/>
        <v>No válido</v>
      </c>
      <c r="CC109" s="129" t="str">
        <f t="shared" si="147"/>
        <v>1</v>
      </c>
      <c r="CD109" s="129" t="str">
        <f t="shared" si="168"/>
        <v>1</v>
      </c>
      <c r="CE109" s="129" t="str">
        <f t="shared" si="169"/>
        <v>0</v>
      </c>
      <c r="CF109" s="120" t="str">
        <f t="shared" si="148"/>
        <v>No válido</v>
      </c>
    </row>
    <row r="110" spans="1:84" x14ac:dyDescent="0.25">
      <c r="A110" s="150" t="s">
        <v>166</v>
      </c>
      <c r="C110" s="116"/>
      <c r="D110" s="120">
        <v>100</v>
      </c>
      <c r="E110" s="24">
        <f>'Cálculos - Distintas Ecuaciones'!F116</f>
        <v>25617.8</v>
      </c>
      <c r="F110" s="39">
        <f>'Cálculos - Distintas Ecuaciones'!Z116+Cunetas!J231+Cunetas!J232</f>
        <v>7.5270372505521399</v>
      </c>
      <c r="G110" s="50" t="str">
        <f t="shared" si="107"/>
        <v>2</v>
      </c>
      <c r="H110" s="120">
        <f t="shared" si="108"/>
        <v>1.4E-2</v>
      </c>
      <c r="I110" s="20">
        <v>0.05</v>
      </c>
      <c r="J110" s="45">
        <v>1.8</v>
      </c>
      <c r="K110" s="67" t="str">
        <f t="shared" si="110"/>
        <v>Cajón</v>
      </c>
      <c r="L110" s="45">
        <v>1.5</v>
      </c>
      <c r="M110" s="45">
        <v>1.5</v>
      </c>
      <c r="N110" s="5">
        <v>1.3643739700744622</v>
      </c>
      <c r="O110" s="5" t="str">
        <f t="shared" si="111"/>
        <v/>
      </c>
      <c r="P110" s="5" t="str">
        <f t="shared" si="112"/>
        <v/>
      </c>
      <c r="Q110" s="5" t="str">
        <f t="shared" si="113"/>
        <v/>
      </c>
      <c r="R110" s="5" t="str">
        <f t="shared" si="114"/>
        <v/>
      </c>
      <c r="S110" s="5" t="str">
        <f t="shared" si="115"/>
        <v/>
      </c>
      <c r="T110" s="117" t="str">
        <f t="shared" si="116"/>
        <v/>
      </c>
      <c r="U110" s="5" t="str">
        <f t="shared" si="117"/>
        <v/>
      </c>
      <c r="V110" s="39" t="str">
        <f t="shared" si="118"/>
        <v/>
      </c>
      <c r="W110" s="46" t="str">
        <f t="shared" si="119"/>
        <v/>
      </c>
      <c r="X110" s="5" t="str">
        <f t="shared" si="120"/>
        <v/>
      </c>
      <c r="Y110" s="5" t="str">
        <f t="shared" si="121"/>
        <v/>
      </c>
      <c r="Z110" s="5" t="str">
        <f t="shared" si="122"/>
        <v/>
      </c>
      <c r="AB110" s="5">
        <v>1.3691955543785754</v>
      </c>
      <c r="AC110" s="5">
        <f t="shared" si="123"/>
        <v>1.5</v>
      </c>
      <c r="AD110" s="5">
        <f t="shared" si="124"/>
        <v>2.0537933315678631</v>
      </c>
      <c r="AE110" s="5">
        <f t="shared" si="125"/>
        <v>4.2383911087571509</v>
      </c>
      <c r="AF110" s="5">
        <f t="shared" si="126"/>
        <v>0.48456909210771476</v>
      </c>
      <c r="AG110" s="5">
        <f t="shared" si="127"/>
        <v>1.0000001888772829</v>
      </c>
      <c r="AH110" s="5">
        <f t="shared" si="128"/>
        <v>3.6649438552836324</v>
      </c>
      <c r="AI110" s="5">
        <f t="shared" si="129"/>
        <v>6.9169787871187416E-3</v>
      </c>
      <c r="AJ110" s="46" t="str">
        <f t="shared" si="130"/>
        <v>Aceptable</v>
      </c>
      <c r="AK110" s="5">
        <f t="shared" si="131"/>
        <v>2.566826067234496</v>
      </c>
      <c r="AL110" s="5">
        <f t="shared" si="132"/>
        <v>2.5668270368648551</v>
      </c>
      <c r="AM110" s="5">
        <f t="shared" si="133"/>
        <v>-9.6963035911556972E-7</v>
      </c>
      <c r="AN110" s="211">
        <v>28</v>
      </c>
      <c r="AP110" s="39">
        <f t="shared" si="149"/>
        <v>7.2493000000000002E-2</v>
      </c>
      <c r="AQ110" s="39">
        <f t="shared" si="150"/>
        <v>0.50708699999999995</v>
      </c>
      <c r="AR110" s="39">
        <f t="shared" si="151"/>
        <v>-0.11747</v>
      </c>
      <c r="AS110" s="39">
        <f t="shared" si="152"/>
        <v>2.2169999999999999E-2</v>
      </c>
      <c r="AT110" s="39">
        <f t="shared" si="153"/>
        <v>-1.49E-3</v>
      </c>
      <c r="AU110" s="39">
        <f t="shared" si="154"/>
        <v>3.8000000000000002E-5</v>
      </c>
      <c r="AV110" s="39">
        <f t="shared" si="155"/>
        <v>2.3785197244352831</v>
      </c>
      <c r="AX110" s="157">
        <v>11.8</v>
      </c>
      <c r="AY110" s="120">
        <f t="shared" si="156"/>
        <v>0.59000000000000008</v>
      </c>
      <c r="AZ110" s="39">
        <f t="shared" si="157"/>
        <v>0.68459803579924849</v>
      </c>
      <c r="BA110" s="118">
        <f t="shared" si="158"/>
        <v>0.5</v>
      </c>
      <c r="BB110" s="39">
        <f t="shared" si="134"/>
        <v>0.34229901789962425</v>
      </c>
      <c r="BC110" s="39">
        <f t="shared" si="159"/>
        <v>8.1620349688001151E-2</v>
      </c>
      <c r="BD110" s="39">
        <f t="shared" si="160"/>
        <v>1.1085174033868741</v>
      </c>
      <c r="BE110" s="39">
        <f t="shared" si="161"/>
        <v>1.4345977771892877</v>
      </c>
      <c r="BF110" s="39">
        <f t="shared" si="162"/>
        <v>1.9531151805761617</v>
      </c>
      <c r="BG110" s="39">
        <f t="shared" si="135"/>
        <v>2.3785197244352831</v>
      </c>
      <c r="BH110" s="39">
        <f t="shared" si="136"/>
        <v>1.1923464829568553</v>
      </c>
      <c r="BI110" s="39">
        <f t="shared" si="170"/>
        <v>1.3020767870507746</v>
      </c>
      <c r="BK110" s="129" t="str">
        <f t="shared" si="138"/>
        <v>1</v>
      </c>
      <c r="BL110" s="120" t="str">
        <f t="shared" si="139"/>
        <v>1</v>
      </c>
      <c r="BM110" s="120" t="str">
        <f t="shared" si="140"/>
        <v>Válido</v>
      </c>
      <c r="BN110" s="36"/>
      <c r="BO110" s="129" t="str">
        <f t="shared" si="163"/>
        <v>1</v>
      </c>
      <c r="BP110" s="120" t="str">
        <f t="shared" si="171"/>
        <v>0</v>
      </c>
      <c r="BQ110" s="120" t="str">
        <f t="shared" si="164"/>
        <v>0</v>
      </c>
      <c r="BR110" s="120" t="str">
        <f t="shared" si="165"/>
        <v>No válido</v>
      </c>
      <c r="BT110" s="129" t="str">
        <f t="shared" si="142"/>
        <v>0</v>
      </c>
      <c r="BU110" s="120" t="str">
        <f t="shared" si="143"/>
        <v>0</v>
      </c>
      <c r="BV110" s="120" t="str">
        <f t="shared" si="144"/>
        <v>No válido</v>
      </c>
      <c r="BX110" s="129" t="str">
        <f t="shared" si="145"/>
        <v>1</v>
      </c>
      <c r="BY110" s="129" t="str">
        <f t="shared" si="166"/>
        <v>0</v>
      </c>
      <c r="BZ110" s="27" t="str">
        <f t="shared" si="167"/>
        <v>1</v>
      </c>
      <c r="CA110" s="120" t="str">
        <f t="shared" si="146"/>
        <v>No válido</v>
      </c>
      <c r="CC110" s="129" t="str">
        <f t="shared" si="147"/>
        <v>1</v>
      </c>
      <c r="CD110" s="129" t="str">
        <f t="shared" si="168"/>
        <v>1</v>
      </c>
      <c r="CE110" s="129" t="str">
        <f t="shared" si="169"/>
        <v>0</v>
      </c>
      <c r="CF110" s="120" t="str">
        <f t="shared" si="148"/>
        <v>No válido</v>
      </c>
    </row>
    <row r="111" spans="1:84" x14ac:dyDescent="0.25">
      <c r="A111" s="150" t="s">
        <v>79</v>
      </c>
      <c r="B111" t="s">
        <v>305</v>
      </c>
      <c r="D111" s="120">
        <v>101</v>
      </c>
      <c r="E111" s="24">
        <f>'Cálculos - Distintas Ecuaciones'!F117</f>
        <v>25998.2</v>
      </c>
      <c r="F111" s="39">
        <f>'Cálculos - Distintas Ecuaciones'!Z117+Cunetas!J233</f>
        <v>2.809421413367664</v>
      </c>
      <c r="G111" s="50" t="str">
        <f t="shared" si="107"/>
        <v>1</v>
      </c>
      <c r="H111" s="120">
        <f t="shared" si="108"/>
        <v>2.4E-2</v>
      </c>
      <c r="I111" s="20">
        <v>0.05</v>
      </c>
      <c r="J111" s="45">
        <v>1.4</v>
      </c>
      <c r="K111" s="67" t="str">
        <f t="shared" si="110"/>
        <v>Circular</v>
      </c>
      <c r="L111" s="45"/>
      <c r="M111" s="45"/>
      <c r="N111" s="5">
        <v>0.88657758129781017</v>
      </c>
      <c r="O111" s="5">
        <f t="shared" si="111"/>
        <v>3.6811941573450593</v>
      </c>
      <c r="P111" s="5">
        <f t="shared" si="112"/>
        <v>1.3493536321617976</v>
      </c>
      <c r="Q111" s="5">
        <f t="shared" si="113"/>
        <v>1.0277721370516211</v>
      </c>
      <c r="R111" s="5">
        <f t="shared" si="114"/>
        <v>2.5768359101415412</v>
      </c>
      <c r="S111" s="5">
        <f t="shared" si="115"/>
        <v>0.3988504401877756</v>
      </c>
      <c r="T111" s="117">
        <f t="shared" si="116"/>
        <v>1.0000000371926134</v>
      </c>
      <c r="U111" s="5">
        <f t="shared" si="117"/>
        <v>2.7335061071290334</v>
      </c>
      <c r="V111" s="39">
        <f t="shared" si="118"/>
        <v>1.4659387092269993E-2</v>
      </c>
      <c r="W111" s="46" t="str">
        <f t="shared" si="119"/>
        <v>Aceptable</v>
      </c>
      <c r="X111" s="5">
        <f t="shared" si="120"/>
        <v>0.80457173067163734</v>
      </c>
      <c r="Y111" s="5">
        <f t="shared" si="121"/>
        <v>0.80457167082339032</v>
      </c>
      <c r="Z111" s="5">
        <f t="shared" si="122"/>
        <v>5.9848247024874013E-8</v>
      </c>
      <c r="AB111" s="120"/>
      <c r="AC111" s="120" t="str">
        <f t="shared" si="123"/>
        <v/>
      </c>
      <c r="AD111" s="120" t="str">
        <f t="shared" si="124"/>
        <v/>
      </c>
      <c r="AE111" s="120" t="str">
        <f t="shared" si="125"/>
        <v/>
      </c>
      <c r="AF111" s="120" t="str">
        <f t="shared" si="126"/>
        <v/>
      </c>
      <c r="AG111" s="120" t="str">
        <f t="shared" si="127"/>
        <v/>
      </c>
      <c r="AH111" s="120" t="str">
        <f t="shared" si="128"/>
        <v/>
      </c>
      <c r="AI111" s="120" t="str">
        <f t="shared" si="129"/>
        <v/>
      </c>
      <c r="AJ111" s="46" t="str">
        <f t="shared" si="130"/>
        <v/>
      </c>
      <c r="AK111" s="120" t="str">
        <f t="shared" si="131"/>
        <v/>
      </c>
      <c r="AL111" s="120" t="str">
        <f t="shared" si="132"/>
        <v/>
      </c>
      <c r="AM111" s="120" t="str">
        <f t="shared" si="133"/>
        <v/>
      </c>
      <c r="AN111" s="211">
        <v>0</v>
      </c>
      <c r="AP111" s="39">
        <f t="shared" si="149"/>
        <v>0.167433</v>
      </c>
      <c r="AQ111" s="39">
        <f t="shared" si="150"/>
        <v>0.53859500000000005</v>
      </c>
      <c r="AR111" s="39">
        <f t="shared" si="151"/>
        <v>-0.14937</v>
      </c>
      <c r="AS111" s="39">
        <f t="shared" si="152"/>
        <v>3.9154000000000001E-2</v>
      </c>
      <c r="AT111" s="39">
        <f t="shared" si="153"/>
        <v>-3.4399999999999999E-3</v>
      </c>
      <c r="AU111" s="39">
        <f t="shared" si="154"/>
        <v>1.16E-4</v>
      </c>
      <c r="AV111" s="39">
        <f t="shared" si="155"/>
        <v>1.3228327063797856</v>
      </c>
      <c r="AX111" s="157">
        <v>10.6</v>
      </c>
      <c r="AY111" s="120">
        <f t="shared" si="156"/>
        <v>0.53</v>
      </c>
      <c r="AZ111" s="39">
        <f t="shared" si="157"/>
        <v>0.3808387175184364</v>
      </c>
      <c r="BA111" s="118">
        <f t="shared" si="158"/>
        <v>0.2</v>
      </c>
      <c r="BB111" s="39">
        <f t="shared" si="134"/>
        <v>7.6167743503687282E-2</v>
      </c>
      <c r="BC111" s="39">
        <f t="shared" si="159"/>
        <v>0.15538950317806191</v>
      </c>
      <c r="BD111" s="39">
        <f t="shared" si="160"/>
        <v>0.61239596420018561</v>
      </c>
      <c r="BE111" s="39">
        <f t="shared" si="161"/>
        <v>1.1432887906489051</v>
      </c>
      <c r="BF111" s="39">
        <f t="shared" si="162"/>
        <v>1.2256847548490908</v>
      </c>
      <c r="BG111" s="39">
        <f t="shared" si="135"/>
        <v>1.3228327063797856</v>
      </c>
      <c r="BH111" s="39">
        <f t="shared" si="136"/>
        <v>0.56630907598556113</v>
      </c>
      <c r="BI111" s="39">
        <f t="shared" si="170"/>
        <v>0.87548911060649348</v>
      </c>
      <c r="BK111" s="129" t="str">
        <f t="shared" si="138"/>
        <v>0</v>
      </c>
      <c r="BL111" s="120" t="str">
        <f t="shared" si="139"/>
        <v>0</v>
      </c>
      <c r="BM111" s="120" t="str">
        <f t="shared" si="140"/>
        <v>No válido</v>
      </c>
      <c r="BN111" s="36"/>
      <c r="BO111" s="129" t="str">
        <f t="shared" si="163"/>
        <v>1</v>
      </c>
      <c r="BP111" s="120" t="str">
        <f t="shared" si="171"/>
        <v>0</v>
      </c>
      <c r="BQ111" s="120" t="str">
        <f t="shared" si="164"/>
        <v>0</v>
      </c>
      <c r="BR111" s="120" t="str">
        <f t="shared" si="165"/>
        <v>No válido</v>
      </c>
      <c r="BT111" s="129" t="str">
        <f t="shared" si="142"/>
        <v>0</v>
      </c>
      <c r="BU111" s="120" t="str">
        <f t="shared" si="143"/>
        <v>1</v>
      </c>
      <c r="BV111" s="120" t="str">
        <f t="shared" si="144"/>
        <v>No válido</v>
      </c>
      <c r="BX111" s="129" t="str">
        <f t="shared" si="145"/>
        <v>1</v>
      </c>
      <c r="BY111" s="129" t="str">
        <f t="shared" si="166"/>
        <v>0</v>
      </c>
      <c r="BZ111" s="27" t="str">
        <f t="shared" si="167"/>
        <v>1</v>
      </c>
      <c r="CA111" s="120" t="str">
        <f t="shared" si="146"/>
        <v>No válido</v>
      </c>
      <c r="CC111" s="129" t="str">
        <f t="shared" si="147"/>
        <v>1</v>
      </c>
      <c r="CD111" s="129" t="str">
        <f t="shared" si="168"/>
        <v>1</v>
      </c>
      <c r="CE111" s="129" t="str">
        <f t="shared" si="169"/>
        <v>0</v>
      </c>
      <c r="CF111" s="120" t="str">
        <f t="shared" si="148"/>
        <v>No válido</v>
      </c>
    </row>
    <row r="112" spans="1:84" x14ac:dyDescent="0.25">
      <c r="A112" s="150" t="s">
        <v>79</v>
      </c>
      <c r="B112" t="s">
        <v>305</v>
      </c>
      <c r="D112" s="120">
        <v>102</v>
      </c>
      <c r="E112" s="24">
        <f>'Cálculos - Distintas Ecuaciones'!F118</f>
        <v>26355</v>
      </c>
      <c r="F112" s="39">
        <f>'Cálculos - Distintas Ecuaciones'!Z118+Cunetas!J234+Cunetas!J235+Cunetas!J236</f>
        <v>2.8656982396185975</v>
      </c>
      <c r="G112" s="50" t="str">
        <f t="shared" si="107"/>
        <v>1</v>
      </c>
      <c r="H112" s="120">
        <f t="shared" si="108"/>
        <v>2.4E-2</v>
      </c>
      <c r="I112" s="20">
        <f t="shared" si="109"/>
        <v>0.02</v>
      </c>
      <c r="J112" s="45">
        <v>1.4</v>
      </c>
      <c r="K112" s="67" t="str">
        <f t="shared" si="110"/>
        <v>Circular</v>
      </c>
      <c r="L112" s="45"/>
      <c r="M112" s="45"/>
      <c r="N112" s="5">
        <v>0.89574000614130567</v>
      </c>
      <c r="O112" s="5">
        <f t="shared" si="111"/>
        <v>3.7084071243951744</v>
      </c>
      <c r="P112" s="5">
        <f t="shared" si="112"/>
        <v>1.3441515539488864</v>
      </c>
      <c r="Q112" s="5">
        <f t="shared" si="113"/>
        <v>1.0401118621892178</v>
      </c>
      <c r="R112" s="5">
        <f t="shared" si="114"/>
        <v>2.5958849870766221</v>
      </c>
      <c r="S112" s="5">
        <f t="shared" si="115"/>
        <v>0.40067717459260344</v>
      </c>
      <c r="T112" s="117">
        <f t="shared" si="116"/>
        <v>0.99999999613821811</v>
      </c>
      <c r="U112" s="5">
        <f t="shared" si="117"/>
        <v>2.7551827296603486</v>
      </c>
      <c r="V112" s="39">
        <f t="shared" si="118"/>
        <v>1.4802344070360022E-2</v>
      </c>
      <c r="W112" s="46" t="str">
        <f t="shared" si="119"/>
        <v>Aceptable</v>
      </c>
      <c r="X112" s="5">
        <f t="shared" si="120"/>
        <v>0.83712807345087947</v>
      </c>
      <c r="Y112" s="5">
        <f t="shared" si="121"/>
        <v>0.83712807991649163</v>
      </c>
      <c r="Z112" s="5">
        <f t="shared" si="122"/>
        <v>-6.4656121567807645E-9</v>
      </c>
      <c r="AB112" s="120"/>
      <c r="AC112" s="120" t="str">
        <f t="shared" si="123"/>
        <v/>
      </c>
      <c r="AD112" s="120" t="str">
        <f t="shared" si="124"/>
        <v/>
      </c>
      <c r="AE112" s="120" t="str">
        <f t="shared" si="125"/>
        <v/>
      </c>
      <c r="AF112" s="120" t="str">
        <f t="shared" si="126"/>
        <v/>
      </c>
      <c r="AG112" s="120" t="str">
        <f t="shared" si="127"/>
        <v/>
      </c>
      <c r="AH112" s="120" t="str">
        <f t="shared" si="128"/>
        <v/>
      </c>
      <c r="AI112" s="120" t="str">
        <f t="shared" si="129"/>
        <v/>
      </c>
      <c r="AJ112" s="46" t="str">
        <f t="shared" si="130"/>
        <v/>
      </c>
      <c r="AK112" s="120" t="str">
        <f t="shared" si="131"/>
        <v/>
      </c>
      <c r="AL112" s="120" t="str">
        <f t="shared" si="132"/>
        <v/>
      </c>
      <c r="AM112" s="120" t="str">
        <f t="shared" si="133"/>
        <v/>
      </c>
      <c r="AN112" s="211">
        <v>0</v>
      </c>
      <c r="AP112" s="39">
        <f t="shared" si="149"/>
        <v>0.167433</v>
      </c>
      <c r="AQ112" s="39">
        <f t="shared" si="150"/>
        <v>0.53859500000000005</v>
      </c>
      <c r="AR112" s="39">
        <f t="shared" si="151"/>
        <v>-0.14937</v>
      </c>
      <c r="AS112" s="39">
        <f t="shared" si="152"/>
        <v>3.9154000000000001E-2</v>
      </c>
      <c r="AT112" s="39">
        <f t="shared" si="153"/>
        <v>-3.4399999999999999E-3</v>
      </c>
      <c r="AU112" s="39">
        <f t="shared" si="154"/>
        <v>1.16E-4</v>
      </c>
      <c r="AV112" s="39">
        <f t="shared" si="155"/>
        <v>1.3633809020556915</v>
      </c>
      <c r="AX112" s="157">
        <v>11.55</v>
      </c>
      <c r="AY112" s="120">
        <f t="shared" si="156"/>
        <v>0.23100000000000001</v>
      </c>
      <c r="AZ112" s="39">
        <f t="shared" si="157"/>
        <v>0.38690274586231649</v>
      </c>
      <c r="BA112" s="118">
        <f t="shared" si="158"/>
        <v>0.2</v>
      </c>
      <c r="BB112" s="39">
        <f t="shared" si="134"/>
        <v>7.73805491724633E-2</v>
      </c>
      <c r="BC112" s="39">
        <f t="shared" si="159"/>
        <v>0.17096707401265826</v>
      </c>
      <c r="BD112" s="39">
        <f t="shared" si="160"/>
        <v>0.63525036904743803</v>
      </c>
      <c r="BE112" s="39">
        <f t="shared" si="161"/>
        <v>1.1478700030706528</v>
      </c>
      <c r="BF112" s="39">
        <f t="shared" si="162"/>
        <v>1.5521203721180907</v>
      </c>
      <c r="BG112" s="39">
        <f t="shared" si="135"/>
        <v>1.5521203721180907</v>
      </c>
      <c r="BH112" s="39">
        <f t="shared" si="136"/>
        <v>0.94365740865577907</v>
      </c>
      <c r="BI112" s="39">
        <f t="shared" si="170"/>
        <v>1.1086574086557792</v>
      </c>
      <c r="BK112" s="129" t="str">
        <f t="shared" si="138"/>
        <v>0</v>
      </c>
      <c r="BL112" s="120" t="str">
        <f t="shared" si="139"/>
        <v>1</v>
      </c>
      <c r="BM112" s="120" t="str">
        <f t="shared" si="140"/>
        <v>No válido</v>
      </c>
      <c r="BN112" s="36"/>
      <c r="BO112" s="129" t="str">
        <f t="shared" si="163"/>
        <v>1</v>
      </c>
      <c r="BP112" s="120" t="str">
        <f t="shared" si="171"/>
        <v>0</v>
      </c>
      <c r="BQ112" s="120" t="str">
        <f t="shared" si="164"/>
        <v>0</v>
      </c>
      <c r="BR112" s="120" t="str">
        <f t="shared" si="165"/>
        <v>No válido</v>
      </c>
      <c r="BT112" s="129" t="str">
        <f t="shared" si="142"/>
        <v>0</v>
      </c>
      <c r="BU112" s="120" t="str">
        <f t="shared" si="143"/>
        <v>0</v>
      </c>
      <c r="BV112" s="120" t="str">
        <f t="shared" si="144"/>
        <v>No válido</v>
      </c>
      <c r="BX112" s="129" t="str">
        <f t="shared" si="145"/>
        <v>1</v>
      </c>
      <c r="BY112" s="129" t="str">
        <f t="shared" si="166"/>
        <v>0</v>
      </c>
      <c r="BZ112" s="27" t="str">
        <f t="shared" si="167"/>
        <v>1</v>
      </c>
      <c r="CA112" s="120" t="str">
        <f t="shared" si="146"/>
        <v>No válido</v>
      </c>
      <c r="CC112" s="129" t="str">
        <f t="shared" si="147"/>
        <v>1</v>
      </c>
      <c r="CD112" s="129" t="str">
        <f t="shared" si="168"/>
        <v>1</v>
      </c>
      <c r="CE112" s="129" t="str">
        <f t="shared" si="169"/>
        <v>0</v>
      </c>
      <c r="CF112" s="120" t="str">
        <f t="shared" si="148"/>
        <v>No válido</v>
      </c>
    </row>
    <row r="113" spans="1:84" x14ac:dyDescent="0.25">
      <c r="A113" s="150" t="s">
        <v>80</v>
      </c>
      <c r="B113" t="s">
        <v>305</v>
      </c>
      <c r="D113" s="120">
        <v>103</v>
      </c>
      <c r="E113" s="24">
        <f>'Cálculos - Distintas Ecuaciones'!F119</f>
        <v>26642.3</v>
      </c>
      <c r="F113" s="39">
        <f>'Cálculos - Distintas Ecuaciones'!Z119+Cunetas!J237</f>
        <v>1.0966911395256733</v>
      </c>
      <c r="G113" s="50" t="str">
        <f t="shared" si="107"/>
        <v>1</v>
      </c>
      <c r="H113" s="120">
        <f t="shared" si="108"/>
        <v>2.4E-2</v>
      </c>
      <c r="I113" s="20">
        <f t="shared" si="109"/>
        <v>0.02</v>
      </c>
      <c r="J113" s="45">
        <v>1.2</v>
      </c>
      <c r="K113" s="67" t="str">
        <f t="shared" si="110"/>
        <v>Circular</v>
      </c>
      <c r="L113" s="45"/>
      <c r="M113" s="45"/>
      <c r="N113" s="5">
        <v>0.56846928570864763</v>
      </c>
      <c r="O113" s="5">
        <f t="shared" si="111"/>
        <v>3.0364418367952792</v>
      </c>
      <c r="P113" s="5">
        <f t="shared" si="112"/>
        <v>1.1983418778566943</v>
      </c>
      <c r="Q113" s="5">
        <f t="shared" si="113"/>
        <v>0.52766724293611922</v>
      </c>
      <c r="R113" s="5">
        <f t="shared" si="114"/>
        <v>1.8218651020771675</v>
      </c>
      <c r="S113" s="5">
        <f t="shared" si="115"/>
        <v>0.28963024887765221</v>
      </c>
      <c r="T113" s="117">
        <f t="shared" si="116"/>
        <v>0.999999994649307</v>
      </c>
      <c r="U113" s="5">
        <f t="shared" si="117"/>
        <v>2.0783763900584629</v>
      </c>
      <c r="V113" s="39">
        <f t="shared" si="118"/>
        <v>1.2984114221683996E-2</v>
      </c>
      <c r="W113" s="46" t="str">
        <f t="shared" si="119"/>
        <v>Aceptable</v>
      </c>
      <c r="X113" s="5">
        <f t="shared" si="120"/>
        <v>0.12260259485363098</v>
      </c>
      <c r="Y113" s="5">
        <f t="shared" si="121"/>
        <v>0.12260259616564868</v>
      </c>
      <c r="Z113" s="5">
        <f t="shared" si="122"/>
        <v>-1.3120177028147495E-9</v>
      </c>
      <c r="AB113" s="120"/>
      <c r="AC113" s="120" t="str">
        <f t="shared" si="123"/>
        <v/>
      </c>
      <c r="AD113" s="120" t="str">
        <f t="shared" si="124"/>
        <v/>
      </c>
      <c r="AE113" s="120" t="str">
        <f t="shared" si="125"/>
        <v/>
      </c>
      <c r="AF113" s="120" t="str">
        <f t="shared" si="126"/>
        <v/>
      </c>
      <c r="AG113" s="120" t="str">
        <f t="shared" si="127"/>
        <v/>
      </c>
      <c r="AH113" s="120" t="str">
        <f t="shared" si="128"/>
        <v/>
      </c>
      <c r="AI113" s="120" t="str">
        <f t="shared" si="129"/>
        <v/>
      </c>
      <c r="AJ113" s="46" t="str">
        <f t="shared" si="130"/>
        <v/>
      </c>
      <c r="AK113" s="120" t="str">
        <f t="shared" si="131"/>
        <v/>
      </c>
      <c r="AL113" s="120" t="str">
        <f t="shared" si="132"/>
        <v/>
      </c>
      <c r="AM113" s="120" t="str">
        <f t="shared" si="133"/>
        <v/>
      </c>
      <c r="AN113" s="211">
        <v>14</v>
      </c>
      <c r="AP113" s="39">
        <f t="shared" si="149"/>
        <v>0.167433</v>
      </c>
      <c r="AQ113" s="39">
        <f t="shared" si="150"/>
        <v>0.53859500000000005</v>
      </c>
      <c r="AR113" s="39">
        <f t="shared" si="151"/>
        <v>-0.14937</v>
      </c>
      <c r="AS113" s="39">
        <f t="shared" si="152"/>
        <v>3.9154000000000001E-2</v>
      </c>
      <c r="AT113" s="39">
        <f t="shared" si="153"/>
        <v>-3.4399999999999999E-3</v>
      </c>
      <c r="AU113" s="39">
        <f t="shared" si="154"/>
        <v>1.16E-4</v>
      </c>
      <c r="AV113" s="39">
        <f t="shared" si="155"/>
        <v>0.80245514725525624</v>
      </c>
      <c r="AX113" s="157">
        <v>15.25</v>
      </c>
      <c r="AY113" s="120">
        <f t="shared" si="156"/>
        <v>0.30499999999999999</v>
      </c>
      <c r="AZ113" s="39">
        <f t="shared" si="157"/>
        <v>0.22016556670501772</v>
      </c>
      <c r="BA113" s="118">
        <f t="shared" si="158"/>
        <v>0.2</v>
      </c>
      <c r="BB113" s="39">
        <f t="shared" si="134"/>
        <v>4.4033113341003544E-2</v>
      </c>
      <c r="BC113" s="39">
        <f t="shared" si="159"/>
        <v>0.19800774188068088</v>
      </c>
      <c r="BD113" s="39">
        <f t="shared" si="160"/>
        <v>0.46220642192670214</v>
      </c>
      <c r="BE113" s="39">
        <f t="shared" si="161"/>
        <v>0.88423464285432374</v>
      </c>
      <c r="BF113" s="39">
        <f t="shared" si="162"/>
        <v>1.0414410647810259</v>
      </c>
      <c r="BG113" s="39">
        <f t="shared" si="135"/>
        <v>1.0414410647810259</v>
      </c>
      <c r="BH113" s="39">
        <f t="shared" si="136"/>
        <v>0.6137008873175217</v>
      </c>
      <c r="BI113" s="39">
        <f t="shared" si="170"/>
        <v>0.86786755398418836</v>
      </c>
      <c r="BK113" s="129" t="str">
        <f t="shared" si="138"/>
        <v>0</v>
      </c>
      <c r="BL113" s="120" t="str">
        <f t="shared" si="139"/>
        <v>0</v>
      </c>
      <c r="BM113" s="120" t="str">
        <f t="shared" si="140"/>
        <v>No válido</v>
      </c>
      <c r="BN113" s="36"/>
      <c r="BO113" s="129" t="str">
        <f t="shared" si="163"/>
        <v>1</v>
      </c>
      <c r="BP113" s="120" t="str">
        <f t="shared" si="171"/>
        <v>0</v>
      </c>
      <c r="BQ113" s="120" t="str">
        <f t="shared" si="164"/>
        <v>0</v>
      </c>
      <c r="BR113" s="120" t="str">
        <f t="shared" si="165"/>
        <v>No válido</v>
      </c>
      <c r="BT113" s="129" t="str">
        <f t="shared" si="142"/>
        <v>0</v>
      </c>
      <c r="BU113" s="120" t="str">
        <f t="shared" si="143"/>
        <v>1</v>
      </c>
      <c r="BV113" s="120" t="str">
        <f t="shared" si="144"/>
        <v>No válido</v>
      </c>
      <c r="BX113" s="129" t="str">
        <f t="shared" si="145"/>
        <v>1</v>
      </c>
      <c r="BY113" s="129" t="str">
        <f t="shared" si="166"/>
        <v>0</v>
      </c>
      <c r="BZ113" s="27" t="str">
        <f t="shared" si="167"/>
        <v>1</v>
      </c>
      <c r="CA113" s="120" t="str">
        <f t="shared" si="146"/>
        <v>No válido</v>
      </c>
      <c r="CC113" s="129" t="str">
        <f t="shared" si="147"/>
        <v>1</v>
      </c>
      <c r="CD113" s="129" t="str">
        <f t="shared" si="168"/>
        <v>1</v>
      </c>
      <c r="CE113" s="129" t="str">
        <f t="shared" si="169"/>
        <v>0</v>
      </c>
      <c r="CF113" s="120" t="str">
        <f t="shared" si="148"/>
        <v>No válido</v>
      </c>
    </row>
    <row r="114" spans="1:84" x14ac:dyDescent="0.25">
      <c r="A114" s="150" t="s">
        <v>79</v>
      </c>
      <c r="B114" t="s">
        <v>305</v>
      </c>
      <c r="D114" s="120">
        <v>104</v>
      </c>
      <c r="E114" s="24">
        <f>'Cálculos - Distintas Ecuaciones'!F120</f>
        <v>27014</v>
      </c>
      <c r="F114" s="39">
        <f>'Cálculos - Distintas Ecuaciones'!Z120+Cunetas!J238+Cunetas!J239+Cunetas!J240</f>
        <v>3.3509565309102056</v>
      </c>
      <c r="G114" s="50" t="str">
        <f t="shared" si="107"/>
        <v>2</v>
      </c>
      <c r="H114" s="120">
        <f t="shared" si="108"/>
        <v>1.4E-2</v>
      </c>
      <c r="I114" s="20">
        <v>0.05</v>
      </c>
      <c r="J114" s="45">
        <v>1.8</v>
      </c>
      <c r="K114" s="67" t="str">
        <f t="shared" si="110"/>
        <v>Cajón</v>
      </c>
      <c r="L114" s="45">
        <v>1.2</v>
      </c>
      <c r="M114" s="45">
        <v>1.2</v>
      </c>
      <c r="N114" s="5">
        <v>0.94905216695385064</v>
      </c>
      <c r="O114" s="5" t="str">
        <f t="shared" si="111"/>
        <v/>
      </c>
      <c r="P114" s="5" t="str">
        <f t="shared" si="112"/>
        <v/>
      </c>
      <c r="Q114" s="5" t="str">
        <f t="shared" si="113"/>
        <v/>
      </c>
      <c r="R114" s="5" t="str">
        <f t="shared" si="114"/>
        <v/>
      </c>
      <c r="S114" s="5" t="str">
        <f t="shared" si="115"/>
        <v/>
      </c>
      <c r="T114" s="117" t="str">
        <f t="shared" si="116"/>
        <v/>
      </c>
      <c r="U114" s="5" t="str">
        <f t="shared" si="117"/>
        <v/>
      </c>
      <c r="V114" s="39" t="str">
        <f t="shared" si="118"/>
        <v/>
      </c>
      <c r="W114" s="46" t="str">
        <f t="shared" si="119"/>
        <v/>
      </c>
      <c r="X114" s="5" t="str">
        <f t="shared" si="120"/>
        <v/>
      </c>
      <c r="Y114" s="5" t="str">
        <f t="shared" si="121"/>
        <v/>
      </c>
      <c r="Z114" s="5" t="str">
        <f t="shared" si="122"/>
        <v/>
      </c>
      <c r="AB114" s="5">
        <v>0.92633628948818758</v>
      </c>
      <c r="AC114" s="5">
        <f t="shared" si="123"/>
        <v>1.2</v>
      </c>
      <c r="AD114" s="5">
        <f t="shared" si="124"/>
        <v>1.111603547385825</v>
      </c>
      <c r="AE114" s="5">
        <f t="shared" si="125"/>
        <v>3.0526725789763751</v>
      </c>
      <c r="AF114" s="5">
        <f t="shared" si="126"/>
        <v>0.36414109886575813</v>
      </c>
      <c r="AG114" s="5">
        <f t="shared" si="127"/>
        <v>1.0000000631175889</v>
      </c>
      <c r="AH114" s="5">
        <f t="shared" si="128"/>
        <v>3.0145248625651666</v>
      </c>
      <c r="AI114" s="5">
        <f t="shared" si="129"/>
        <v>6.8496368504581502E-3</v>
      </c>
      <c r="AJ114" s="117" t="str">
        <f t="shared" si="130"/>
        <v>Aceptable</v>
      </c>
      <c r="AK114" s="5">
        <f t="shared" si="131"/>
        <v>0.79488817069929252</v>
      </c>
      <c r="AL114" s="5">
        <f t="shared" si="132"/>
        <v>0.79488827104214521</v>
      </c>
      <c r="AM114" s="5">
        <f t="shared" si="133"/>
        <v>-1.0034285269355792E-7</v>
      </c>
      <c r="AN114" s="211">
        <v>0</v>
      </c>
      <c r="AP114" s="39">
        <f t="shared" si="149"/>
        <v>7.2493000000000002E-2</v>
      </c>
      <c r="AQ114" s="39">
        <f t="shared" si="150"/>
        <v>0.50708699999999995</v>
      </c>
      <c r="AR114" s="39">
        <f t="shared" si="151"/>
        <v>-0.11747</v>
      </c>
      <c r="AS114" s="39">
        <f t="shared" si="152"/>
        <v>2.2169999999999999E-2</v>
      </c>
      <c r="AT114" s="39">
        <f t="shared" si="153"/>
        <v>-1.49E-3</v>
      </c>
      <c r="AU114" s="39">
        <f t="shared" si="154"/>
        <v>3.8000000000000002E-5</v>
      </c>
      <c r="AV114" s="39">
        <f t="shared" si="155"/>
        <v>1.4734528078664522</v>
      </c>
      <c r="AX114" s="157">
        <v>10.45</v>
      </c>
      <c r="AY114" s="120">
        <f t="shared" si="156"/>
        <v>0.52249999999999996</v>
      </c>
      <c r="AZ114" s="39">
        <f t="shared" si="157"/>
        <v>0.46316820321220881</v>
      </c>
      <c r="BA114" s="118">
        <f t="shared" si="158"/>
        <v>0.5</v>
      </c>
      <c r="BB114" s="39">
        <f t="shared" si="134"/>
        <v>0.2315841016061044</v>
      </c>
      <c r="BC114" s="39">
        <f t="shared" si="159"/>
        <v>7.1578705087287656E-2</v>
      </c>
      <c r="BD114" s="39">
        <f t="shared" si="160"/>
        <v>0.76633100990560088</v>
      </c>
      <c r="BE114" s="39">
        <f t="shared" si="161"/>
        <v>1.0631681447440937</v>
      </c>
      <c r="BF114" s="39">
        <f t="shared" si="162"/>
        <v>1.3069991546496946</v>
      </c>
      <c r="BG114" s="39">
        <f t="shared" si="135"/>
        <v>1.4734528078664522</v>
      </c>
      <c r="BH114" s="39">
        <f t="shared" si="136"/>
        <v>0.7924606732220435</v>
      </c>
      <c r="BI114" s="39">
        <f t="shared" si="170"/>
        <v>1.0891659622080789</v>
      </c>
      <c r="BK114" s="129" t="str">
        <f t="shared" si="138"/>
        <v>0</v>
      </c>
      <c r="BL114" s="120" t="str">
        <f t="shared" si="139"/>
        <v>1</v>
      </c>
      <c r="BM114" s="120" t="str">
        <f t="shared" si="140"/>
        <v>No válido</v>
      </c>
      <c r="BN114" s="36"/>
      <c r="BO114" s="129" t="str">
        <f t="shared" si="163"/>
        <v>1</v>
      </c>
      <c r="BP114" s="120" t="str">
        <f t="shared" si="171"/>
        <v>0</v>
      </c>
      <c r="BQ114" s="120" t="str">
        <f t="shared" si="164"/>
        <v>0</v>
      </c>
      <c r="BR114" s="120" t="str">
        <f t="shared" si="165"/>
        <v>No válido</v>
      </c>
      <c r="BT114" s="129" t="str">
        <f t="shared" si="142"/>
        <v>0</v>
      </c>
      <c r="BU114" s="120" t="str">
        <f t="shared" si="143"/>
        <v>0</v>
      </c>
      <c r="BV114" s="120" t="str">
        <f t="shared" si="144"/>
        <v>No válido</v>
      </c>
      <c r="BX114" s="129" t="str">
        <f t="shared" si="145"/>
        <v>1</v>
      </c>
      <c r="BY114" s="129" t="str">
        <f t="shared" si="166"/>
        <v>0</v>
      </c>
      <c r="BZ114" s="27" t="str">
        <f t="shared" si="167"/>
        <v>1</v>
      </c>
      <c r="CA114" s="120" t="str">
        <f t="shared" si="146"/>
        <v>No válido</v>
      </c>
      <c r="CC114" s="129" t="str">
        <f t="shared" si="147"/>
        <v>1</v>
      </c>
      <c r="CD114" s="129" t="str">
        <f t="shared" si="168"/>
        <v>1</v>
      </c>
      <c r="CE114" s="129" t="str">
        <f t="shared" si="169"/>
        <v>0</v>
      </c>
      <c r="CF114" s="120" t="str">
        <f t="shared" si="148"/>
        <v>No válido</v>
      </c>
    </row>
    <row r="115" spans="1:84" x14ac:dyDescent="0.25">
      <c r="A115" s="150" t="s">
        <v>79</v>
      </c>
      <c r="B115" t="s">
        <v>305</v>
      </c>
      <c r="D115" s="120">
        <v>105</v>
      </c>
      <c r="E115" s="24">
        <f>'Cálculos - Distintas Ecuaciones'!F121</f>
        <v>27141.200000000001</v>
      </c>
      <c r="F115" s="39">
        <f>'Cálculos - Distintas Ecuaciones'!Z121+Cunetas!J241+Cunetas!J242</f>
        <v>2.1788553017551364</v>
      </c>
      <c r="G115" s="50" t="str">
        <f t="shared" si="107"/>
        <v>1</v>
      </c>
      <c r="H115" s="120">
        <f t="shared" si="108"/>
        <v>2.4E-2</v>
      </c>
      <c r="I115" s="20">
        <f t="shared" si="109"/>
        <v>0.02</v>
      </c>
      <c r="J115" s="45">
        <v>1.2</v>
      </c>
      <c r="K115" s="67" t="str">
        <f t="shared" si="110"/>
        <v>Circular</v>
      </c>
      <c r="L115" s="45"/>
      <c r="M115" s="45"/>
      <c r="N115" s="5">
        <v>0.81312862738304137</v>
      </c>
      <c r="O115" s="5">
        <f t="shared" si="111"/>
        <v>3.8678794383325714</v>
      </c>
      <c r="P115" s="5">
        <f t="shared" si="112"/>
        <v>1.1217418387308564</v>
      </c>
      <c r="Q115" s="5">
        <f t="shared" si="113"/>
        <v>0.815755948083281</v>
      </c>
      <c r="R115" s="5">
        <f t="shared" si="114"/>
        <v>2.3207276629995426</v>
      </c>
      <c r="S115" s="5">
        <f t="shared" si="115"/>
        <v>0.35150869319535566</v>
      </c>
      <c r="T115" s="117">
        <f t="shared" si="116"/>
        <v>0.99999993432523526</v>
      </c>
      <c r="U115" s="5">
        <f t="shared" si="117"/>
        <v>2.6709646517130832</v>
      </c>
      <c r="V115" s="39">
        <f t="shared" si="118"/>
        <v>1.6564462103599537E-2</v>
      </c>
      <c r="W115" s="46" t="str">
        <f t="shared" si="119"/>
        <v>Aceptable</v>
      </c>
      <c r="X115" s="5">
        <f t="shared" si="120"/>
        <v>0.48393582324021067</v>
      </c>
      <c r="Y115" s="5">
        <f t="shared" si="121"/>
        <v>0.48393588680495969</v>
      </c>
      <c r="Z115" s="5">
        <f t="shared" si="122"/>
        <v>-6.3564749019917599E-8</v>
      </c>
      <c r="AB115" s="120"/>
      <c r="AC115" s="120" t="str">
        <f t="shared" si="123"/>
        <v/>
      </c>
      <c r="AD115" s="120" t="str">
        <f t="shared" si="124"/>
        <v/>
      </c>
      <c r="AE115" s="120" t="str">
        <f t="shared" si="125"/>
        <v/>
      </c>
      <c r="AF115" s="120" t="str">
        <f t="shared" si="126"/>
        <v/>
      </c>
      <c r="AG115" s="120" t="str">
        <f t="shared" si="127"/>
        <v/>
      </c>
      <c r="AH115" s="120" t="str">
        <f t="shared" si="128"/>
        <v/>
      </c>
      <c r="AI115" s="120" t="str">
        <f t="shared" si="129"/>
        <v/>
      </c>
      <c r="AJ115" s="46" t="str">
        <f t="shared" si="130"/>
        <v/>
      </c>
      <c r="AK115" s="120" t="str">
        <f t="shared" si="131"/>
        <v/>
      </c>
      <c r="AL115" s="120" t="str">
        <f t="shared" si="132"/>
        <v/>
      </c>
      <c r="AM115" s="120" t="str">
        <f t="shared" si="133"/>
        <v/>
      </c>
      <c r="AN115" s="211">
        <v>0</v>
      </c>
      <c r="AP115" s="39">
        <f t="shared" si="149"/>
        <v>0.167433</v>
      </c>
      <c r="AQ115" s="39">
        <f t="shared" si="150"/>
        <v>0.53859500000000005</v>
      </c>
      <c r="AR115" s="39">
        <f t="shared" si="151"/>
        <v>-0.14937</v>
      </c>
      <c r="AS115" s="39">
        <f t="shared" si="152"/>
        <v>3.9154000000000001E-2</v>
      </c>
      <c r="AT115" s="39">
        <f t="shared" si="153"/>
        <v>-3.4399999999999999E-3</v>
      </c>
      <c r="AU115" s="39">
        <f t="shared" si="154"/>
        <v>1.16E-4</v>
      </c>
      <c r="AV115" s="39">
        <f t="shared" si="155"/>
        <v>1.2716664948098901</v>
      </c>
      <c r="AX115" s="157">
        <v>10.85</v>
      </c>
      <c r="AY115" s="120">
        <f t="shared" si="156"/>
        <v>0.217</v>
      </c>
      <c r="AZ115" s="39">
        <f t="shared" si="157"/>
        <v>0.36361122174825644</v>
      </c>
      <c r="BA115" s="118">
        <f t="shared" si="158"/>
        <v>0.2</v>
      </c>
      <c r="BB115" s="39">
        <f t="shared" si="134"/>
        <v>7.2722244349651285E-2</v>
      </c>
      <c r="BC115" s="39">
        <f t="shared" si="159"/>
        <v>0.17972441382405499</v>
      </c>
      <c r="BD115" s="39">
        <f t="shared" si="160"/>
        <v>0.6160578799219627</v>
      </c>
      <c r="BE115" s="39">
        <f t="shared" si="161"/>
        <v>1.0065643136915208</v>
      </c>
      <c r="BF115" s="39">
        <f t="shared" si="162"/>
        <v>1.4056221936134834</v>
      </c>
      <c r="BG115" s="39">
        <f t="shared" si="135"/>
        <v>1.4056221936134834</v>
      </c>
      <c r="BH115" s="39">
        <f t="shared" si="136"/>
        <v>0.99051849467790276</v>
      </c>
      <c r="BI115" s="39">
        <f t="shared" si="170"/>
        <v>1.1713518280112363</v>
      </c>
      <c r="BK115" s="129" t="str">
        <f t="shared" si="138"/>
        <v>0</v>
      </c>
      <c r="BL115" s="120" t="str">
        <f t="shared" si="139"/>
        <v>1</v>
      </c>
      <c r="BM115" s="120" t="str">
        <f t="shared" si="140"/>
        <v>No válido</v>
      </c>
      <c r="BN115" s="36"/>
      <c r="BO115" s="129" t="str">
        <f t="shared" si="163"/>
        <v>1</v>
      </c>
      <c r="BP115" s="120" t="str">
        <f t="shared" si="171"/>
        <v>0</v>
      </c>
      <c r="BQ115" s="120" t="str">
        <f t="shared" si="164"/>
        <v>0</v>
      </c>
      <c r="BR115" s="120" t="str">
        <f t="shared" si="165"/>
        <v>No válido</v>
      </c>
      <c r="BT115" s="129" t="str">
        <f t="shared" si="142"/>
        <v>0</v>
      </c>
      <c r="BU115" s="120" t="str">
        <f t="shared" si="143"/>
        <v>0</v>
      </c>
      <c r="BV115" s="120" t="str">
        <f t="shared" si="144"/>
        <v>No válido</v>
      </c>
      <c r="BX115" s="129" t="str">
        <f t="shared" si="145"/>
        <v>1</v>
      </c>
      <c r="BY115" s="129" t="str">
        <f t="shared" si="166"/>
        <v>0</v>
      </c>
      <c r="BZ115" s="27" t="str">
        <f t="shared" si="167"/>
        <v>1</v>
      </c>
      <c r="CA115" s="120" t="str">
        <f t="shared" si="146"/>
        <v>No válido</v>
      </c>
      <c r="CC115" s="129" t="str">
        <f t="shared" si="147"/>
        <v>1</v>
      </c>
      <c r="CD115" s="129" t="str">
        <f t="shared" si="168"/>
        <v>1</v>
      </c>
      <c r="CE115" s="129" t="str">
        <f t="shared" si="169"/>
        <v>0</v>
      </c>
      <c r="CF115" s="120" t="str">
        <f t="shared" si="148"/>
        <v>No válido</v>
      </c>
    </row>
    <row r="116" spans="1:84" x14ac:dyDescent="0.25">
      <c r="A116" s="150" t="s">
        <v>79</v>
      </c>
      <c r="D116" s="120">
        <v>106</v>
      </c>
      <c r="E116" s="24">
        <v>27448.7</v>
      </c>
      <c r="F116" s="39">
        <f>'Cálculos - Distintas Ecuaciones'!Z122+Cunetas!J243+Cunetas!J244</f>
        <v>1.70526844136542</v>
      </c>
      <c r="G116" s="50" t="str">
        <f t="shared" si="107"/>
        <v>1</v>
      </c>
      <c r="H116" s="120">
        <f t="shared" si="108"/>
        <v>2.4E-2</v>
      </c>
      <c r="I116" s="20">
        <v>0.05</v>
      </c>
      <c r="J116" s="45">
        <v>1.2</v>
      </c>
      <c r="K116" s="67" t="str">
        <f t="shared" si="110"/>
        <v>Circular</v>
      </c>
      <c r="L116" s="45"/>
      <c r="M116" s="45"/>
      <c r="N116" s="5">
        <v>0.71619397227823667</v>
      </c>
      <c r="O116" s="5">
        <f t="shared" si="111"/>
        <v>3.5313685803133628</v>
      </c>
      <c r="P116" s="5">
        <f t="shared" si="112"/>
        <v>1.1772832468122603</v>
      </c>
      <c r="Q116" s="5">
        <f t="shared" si="113"/>
        <v>0.70404295292827335</v>
      </c>
      <c r="R116" s="5">
        <f t="shared" si="114"/>
        <v>2.1188211481880175</v>
      </c>
      <c r="S116" s="5">
        <f t="shared" si="115"/>
        <v>0.33228050113165986</v>
      </c>
      <c r="T116" s="117">
        <f t="shared" si="116"/>
        <v>0.99999999858634037</v>
      </c>
      <c r="U116" s="5">
        <f t="shared" si="117"/>
        <v>2.4221085294197238</v>
      </c>
      <c r="V116" s="39">
        <f t="shared" si="118"/>
        <v>1.4682608059067662E-2</v>
      </c>
      <c r="W116" s="46" t="str">
        <f t="shared" si="119"/>
        <v>Aceptable</v>
      </c>
      <c r="X116" s="5">
        <f t="shared" si="120"/>
        <v>0.29642614241761966</v>
      </c>
      <c r="Y116" s="5">
        <f t="shared" si="121"/>
        <v>0.29642614325571098</v>
      </c>
      <c r="Z116" s="5">
        <f t="shared" si="122"/>
        <v>-8.3809131856682484E-10</v>
      </c>
      <c r="AB116" s="120"/>
      <c r="AC116" s="120" t="str">
        <f t="shared" si="123"/>
        <v/>
      </c>
      <c r="AD116" s="120" t="str">
        <f t="shared" si="124"/>
        <v/>
      </c>
      <c r="AE116" s="120" t="str">
        <f t="shared" si="125"/>
        <v/>
      </c>
      <c r="AF116" s="120" t="str">
        <f t="shared" si="126"/>
        <v/>
      </c>
      <c r="AG116" s="120" t="str">
        <f t="shared" si="127"/>
        <v/>
      </c>
      <c r="AH116" s="120" t="str">
        <f t="shared" si="128"/>
        <v/>
      </c>
      <c r="AI116" s="120" t="str">
        <f t="shared" si="129"/>
        <v/>
      </c>
      <c r="AJ116" s="46" t="str">
        <f t="shared" si="130"/>
        <v/>
      </c>
      <c r="AK116" s="120" t="str">
        <f t="shared" si="131"/>
        <v/>
      </c>
      <c r="AL116" s="120" t="str">
        <f t="shared" si="132"/>
        <v/>
      </c>
      <c r="AM116" s="120" t="str">
        <f t="shared" si="133"/>
        <v/>
      </c>
      <c r="AN116" s="211">
        <v>16</v>
      </c>
      <c r="AP116" s="39">
        <f t="shared" si="149"/>
        <v>0.167433</v>
      </c>
      <c r="AQ116" s="39">
        <f t="shared" si="150"/>
        <v>0.53859500000000005</v>
      </c>
      <c r="AR116" s="39">
        <f t="shared" si="151"/>
        <v>-0.14937</v>
      </c>
      <c r="AS116" s="39">
        <f t="shared" si="152"/>
        <v>3.9154000000000001E-2</v>
      </c>
      <c r="AT116" s="39">
        <f t="shared" si="153"/>
        <v>-3.4399999999999999E-3</v>
      </c>
      <c r="AU116" s="39">
        <f t="shared" si="154"/>
        <v>1.16E-4</v>
      </c>
      <c r="AV116" s="39">
        <f t="shared" si="155"/>
        <v>1.0452812851592534</v>
      </c>
      <c r="AX116" s="157">
        <v>15.8</v>
      </c>
      <c r="AY116" s="120">
        <f t="shared" si="156"/>
        <v>0.79</v>
      </c>
      <c r="AZ116" s="39">
        <f t="shared" si="157"/>
        <v>0.29901170888316908</v>
      </c>
      <c r="BA116" s="118">
        <f t="shared" si="158"/>
        <v>0.2</v>
      </c>
      <c r="BB116" s="39">
        <f t="shared" si="134"/>
        <v>5.9802341776633822E-2</v>
      </c>
      <c r="BC116" s="39">
        <f t="shared" si="159"/>
        <v>0.23198520733326902</v>
      </c>
      <c r="BD116" s="39">
        <f t="shared" si="160"/>
        <v>0.59079925799307187</v>
      </c>
      <c r="BE116" s="39">
        <f t="shared" si="161"/>
        <v>0.95809698613911831</v>
      </c>
      <c r="BF116" s="39">
        <f t="shared" si="162"/>
        <v>0.75889624413219003</v>
      </c>
      <c r="BG116" s="39">
        <f t="shared" si="135"/>
        <v>1.0452812851592534</v>
      </c>
      <c r="BH116" s="39">
        <f t="shared" si="136"/>
        <v>0.21273440429937784</v>
      </c>
      <c r="BI116" s="39">
        <f t="shared" si="170"/>
        <v>0.6324135367768251</v>
      </c>
      <c r="BK116" s="129" t="str">
        <f t="shared" si="138"/>
        <v>0</v>
      </c>
      <c r="BL116" s="120" t="str">
        <f t="shared" si="139"/>
        <v>0</v>
      </c>
      <c r="BM116" s="120" t="str">
        <f t="shared" si="140"/>
        <v>No válido</v>
      </c>
      <c r="BN116" s="36"/>
      <c r="BO116" s="129" t="str">
        <f t="shared" si="163"/>
        <v>1</v>
      </c>
      <c r="BP116" s="120" t="str">
        <f t="shared" si="171"/>
        <v>0</v>
      </c>
      <c r="BQ116" s="120" t="str">
        <f t="shared" si="164"/>
        <v>0</v>
      </c>
      <c r="BR116" s="120" t="str">
        <f t="shared" si="165"/>
        <v>No válido</v>
      </c>
      <c r="BT116" s="129" t="str">
        <f t="shared" si="142"/>
        <v>0</v>
      </c>
      <c r="BU116" s="120" t="str">
        <f t="shared" si="143"/>
        <v>1</v>
      </c>
      <c r="BV116" s="120" t="str">
        <f t="shared" si="144"/>
        <v>No válido</v>
      </c>
      <c r="BX116" s="129" t="str">
        <f t="shared" si="145"/>
        <v>1</v>
      </c>
      <c r="BY116" s="129" t="str">
        <f t="shared" si="166"/>
        <v>0</v>
      </c>
      <c r="BZ116" s="27" t="str">
        <f t="shared" si="167"/>
        <v>1</v>
      </c>
      <c r="CA116" s="120" t="str">
        <f t="shared" si="146"/>
        <v>No válido</v>
      </c>
      <c r="CC116" s="129" t="str">
        <f t="shared" si="147"/>
        <v>1</v>
      </c>
      <c r="CD116" s="129" t="str">
        <f t="shared" si="168"/>
        <v>1</v>
      </c>
      <c r="CE116" s="129" t="str">
        <f t="shared" si="169"/>
        <v>0</v>
      </c>
      <c r="CF116" s="120" t="str">
        <f t="shared" si="148"/>
        <v>No válido</v>
      </c>
    </row>
    <row r="117" spans="1:84" x14ac:dyDescent="0.25">
      <c r="A117" s="150" t="s">
        <v>162</v>
      </c>
      <c r="B117" t="s">
        <v>305</v>
      </c>
      <c r="D117" s="120">
        <v>107</v>
      </c>
      <c r="E117" s="24">
        <f>'Cálculos - Distintas Ecuaciones'!F123</f>
        <v>27505.5</v>
      </c>
      <c r="F117" s="39">
        <f>'Cálculos - Distintas Ecuaciones'!Z123+Cunetas!J245</f>
        <v>1.0322834721819123</v>
      </c>
      <c r="G117" s="50" t="str">
        <f t="shared" si="107"/>
        <v>1</v>
      </c>
      <c r="H117" s="120">
        <f t="shared" si="108"/>
        <v>2.4E-2</v>
      </c>
      <c r="I117" s="20">
        <f t="shared" si="109"/>
        <v>0.02</v>
      </c>
      <c r="J117" s="45">
        <v>1.2</v>
      </c>
      <c r="K117" s="67" t="str">
        <f t="shared" si="110"/>
        <v>Circular</v>
      </c>
      <c r="L117" s="45"/>
      <c r="M117" s="45"/>
      <c r="N117" s="5">
        <v>0.55075810079208465</v>
      </c>
      <c r="O117" s="5">
        <f t="shared" si="111"/>
        <v>2.9772681695485068</v>
      </c>
      <c r="P117" s="5">
        <f t="shared" si="112"/>
        <v>1.1959518976320034</v>
      </c>
      <c r="Q117" s="5">
        <f t="shared" si="113"/>
        <v>0.50646279911837611</v>
      </c>
      <c r="R117" s="5">
        <f t="shared" si="114"/>
        <v>1.786360901729104</v>
      </c>
      <c r="S117" s="5">
        <f t="shared" si="115"/>
        <v>0.2835165047713184</v>
      </c>
      <c r="T117" s="117">
        <f t="shared" si="116"/>
        <v>0.99999999998888134</v>
      </c>
      <c r="U117" s="5">
        <f t="shared" si="117"/>
        <v>2.0382217094303021</v>
      </c>
      <c r="V117" s="39">
        <f t="shared" si="118"/>
        <v>1.2847566309374696E-2</v>
      </c>
      <c r="W117" s="46" t="str">
        <f t="shared" si="119"/>
        <v>Aceptable</v>
      </c>
      <c r="X117" s="5">
        <f t="shared" si="120"/>
        <v>0.10862478765952548</v>
      </c>
      <c r="Y117" s="5">
        <f t="shared" si="121"/>
        <v>0.108624787661941</v>
      </c>
      <c r="Z117" s="5">
        <f t="shared" si="122"/>
        <v>-2.4155261124647609E-12</v>
      </c>
      <c r="AB117" s="120"/>
      <c r="AC117" s="120" t="str">
        <f t="shared" si="123"/>
        <v/>
      </c>
      <c r="AD117" s="120" t="str">
        <f t="shared" si="124"/>
        <v/>
      </c>
      <c r="AE117" s="120" t="str">
        <f t="shared" si="125"/>
        <v/>
      </c>
      <c r="AF117" s="120" t="str">
        <f t="shared" si="126"/>
        <v/>
      </c>
      <c r="AG117" s="120" t="str">
        <f t="shared" si="127"/>
        <v/>
      </c>
      <c r="AH117" s="120" t="str">
        <f t="shared" si="128"/>
        <v/>
      </c>
      <c r="AI117" s="120" t="str">
        <f t="shared" si="129"/>
        <v/>
      </c>
      <c r="AJ117" s="46" t="str">
        <f t="shared" si="130"/>
        <v/>
      </c>
      <c r="AK117" s="120" t="str">
        <f t="shared" si="131"/>
        <v/>
      </c>
      <c r="AL117" s="120" t="str">
        <f t="shared" si="132"/>
        <v/>
      </c>
      <c r="AM117" s="120" t="str">
        <f t="shared" si="133"/>
        <v/>
      </c>
      <c r="AN117" s="211">
        <v>19</v>
      </c>
      <c r="AP117" s="39">
        <f t="shared" si="149"/>
        <v>0.167433</v>
      </c>
      <c r="AQ117" s="39">
        <f t="shared" si="150"/>
        <v>0.53859500000000005</v>
      </c>
      <c r="AR117" s="39">
        <f t="shared" si="151"/>
        <v>-0.14937</v>
      </c>
      <c r="AS117" s="39">
        <f t="shared" si="152"/>
        <v>3.9154000000000001E-2</v>
      </c>
      <c r="AT117" s="39">
        <f t="shared" si="153"/>
        <v>-3.4399999999999999E-3</v>
      </c>
      <c r="AU117" s="39">
        <f t="shared" si="154"/>
        <v>1.16E-4</v>
      </c>
      <c r="AV117" s="39">
        <f t="shared" si="155"/>
        <v>0.77360010535176105</v>
      </c>
      <c r="AX117" s="157">
        <v>12.65</v>
      </c>
      <c r="AY117" s="120">
        <f t="shared" si="156"/>
        <v>0.253</v>
      </c>
      <c r="AZ117" s="39">
        <f t="shared" si="157"/>
        <v>0.21174045549403581</v>
      </c>
      <c r="BA117" s="118">
        <f t="shared" si="158"/>
        <v>0.2</v>
      </c>
      <c r="BB117" s="39">
        <f t="shared" si="134"/>
        <v>4.2348091098807161E-2</v>
      </c>
      <c r="BC117" s="39">
        <f t="shared" si="159"/>
        <v>0.1625217138135899</v>
      </c>
      <c r="BD117" s="39">
        <f t="shared" si="160"/>
        <v>0.4166102604064329</v>
      </c>
      <c r="BE117" s="39">
        <f t="shared" si="161"/>
        <v>0.87537905039604236</v>
      </c>
      <c r="BF117" s="39">
        <f t="shared" si="162"/>
        <v>1.0389893108024753</v>
      </c>
      <c r="BG117" s="39">
        <f t="shared" si="135"/>
        <v>1.0389893108024753</v>
      </c>
      <c r="BH117" s="39">
        <f t="shared" si="136"/>
        <v>0.6549910923353961</v>
      </c>
      <c r="BI117" s="39">
        <f t="shared" si="170"/>
        <v>0.86582442566872941</v>
      </c>
      <c r="BK117" s="129" t="str">
        <f t="shared" si="138"/>
        <v>0</v>
      </c>
      <c r="BL117" s="120" t="str">
        <f t="shared" si="139"/>
        <v>0</v>
      </c>
      <c r="BM117" s="120" t="str">
        <f t="shared" si="140"/>
        <v>No válido</v>
      </c>
      <c r="BN117" s="36"/>
      <c r="BO117" s="129" t="str">
        <f t="shared" si="163"/>
        <v>1</v>
      </c>
      <c r="BP117" s="120" t="str">
        <f t="shared" si="171"/>
        <v>0</v>
      </c>
      <c r="BQ117" s="120" t="str">
        <f t="shared" si="164"/>
        <v>0</v>
      </c>
      <c r="BR117" s="120" t="str">
        <f t="shared" si="165"/>
        <v>No válido</v>
      </c>
      <c r="BT117" s="129" t="str">
        <f t="shared" si="142"/>
        <v>0</v>
      </c>
      <c r="BU117" s="120" t="str">
        <f t="shared" si="143"/>
        <v>1</v>
      </c>
      <c r="BV117" s="120" t="str">
        <f t="shared" si="144"/>
        <v>No válido</v>
      </c>
      <c r="BX117" s="129" t="str">
        <f t="shared" si="145"/>
        <v>1</v>
      </c>
      <c r="BY117" s="129" t="str">
        <f t="shared" si="166"/>
        <v>0</v>
      </c>
      <c r="BZ117" s="27" t="str">
        <f t="shared" si="167"/>
        <v>1</v>
      </c>
      <c r="CA117" s="120" t="str">
        <f t="shared" si="146"/>
        <v>No válido</v>
      </c>
      <c r="CC117" s="129" t="str">
        <f t="shared" si="147"/>
        <v>1</v>
      </c>
      <c r="CD117" s="129" t="str">
        <f t="shared" si="168"/>
        <v>1</v>
      </c>
      <c r="CE117" s="129" t="str">
        <f t="shared" si="169"/>
        <v>0</v>
      </c>
      <c r="CF117" s="120" t="str">
        <f t="shared" si="148"/>
        <v>No válido</v>
      </c>
    </row>
    <row r="118" spans="1:84" x14ac:dyDescent="0.25">
      <c r="A118" s="150" t="s">
        <v>80</v>
      </c>
      <c r="B118" t="s">
        <v>305</v>
      </c>
      <c r="D118" s="120">
        <v>108</v>
      </c>
      <c r="E118" s="24">
        <f>'Cálculos - Distintas Ecuaciones'!F124</f>
        <v>27640</v>
      </c>
      <c r="F118" s="39">
        <f>'Cálculos - Distintas Ecuaciones'!Z124+Cunetas!J246</f>
        <v>0.92724768408013214</v>
      </c>
      <c r="G118" s="50" t="str">
        <f t="shared" si="107"/>
        <v>1</v>
      </c>
      <c r="H118" s="120">
        <f t="shared" si="108"/>
        <v>2.4E-2</v>
      </c>
      <c r="I118" s="20">
        <v>0.05</v>
      </c>
      <c r="J118" s="45">
        <v>1.2</v>
      </c>
      <c r="K118" s="67" t="str">
        <f t="shared" si="110"/>
        <v>Circular</v>
      </c>
      <c r="L118" s="45"/>
      <c r="M118" s="45"/>
      <c r="N118" s="5">
        <v>0.52073411169804729</v>
      </c>
      <c r="O118" s="5">
        <f t="shared" si="111"/>
        <v>2.8765983552226198</v>
      </c>
      <c r="P118" s="5">
        <f t="shared" si="112"/>
        <v>1.1894821040296526</v>
      </c>
      <c r="Q118" s="5">
        <f t="shared" si="113"/>
        <v>0.4706450261424785</v>
      </c>
      <c r="R118" s="5">
        <f t="shared" si="114"/>
        <v>1.7259590131335718</v>
      </c>
      <c r="S118" s="5">
        <f t="shared" si="115"/>
        <v>0.27268609657653287</v>
      </c>
      <c r="T118" s="117">
        <f t="shared" si="116"/>
        <v>0.99999999947921159</v>
      </c>
      <c r="U118" s="5">
        <f t="shared" si="117"/>
        <v>1.9701635682418244</v>
      </c>
      <c r="V118" s="39">
        <f t="shared" si="118"/>
        <v>1.2643764293924137E-2</v>
      </c>
      <c r="W118" s="46" t="str">
        <f t="shared" si="119"/>
        <v>Aceptable</v>
      </c>
      <c r="X118" s="5">
        <f t="shared" si="120"/>
        <v>8.7644063978793943E-2</v>
      </c>
      <c r="Y118" s="5">
        <f t="shared" si="121"/>
        <v>8.7644064070081976E-2</v>
      </c>
      <c r="Z118" s="5">
        <f t="shared" si="122"/>
        <v>-9.1288032688652265E-11</v>
      </c>
      <c r="AB118" s="120"/>
      <c r="AC118" s="120" t="str">
        <f t="shared" si="123"/>
        <v/>
      </c>
      <c r="AD118" s="120" t="str">
        <f t="shared" si="124"/>
        <v/>
      </c>
      <c r="AE118" s="120" t="str">
        <f t="shared" si="125"/>
        <v/>
      </c>
      <c r="AF118" s="120" t="str">
        <f t="shared" si="126"/>
        <v/>
      </c>
      <c r="AG118" s="120" t="str">
        <f t="shared" si="127"/>
        <v/>
      </c>
      <c r="AH118" s="120" t="str">
        <f t="shared" si="128"/>
        <v/>
      </c>
      <c r="AI118" s="120" t="str">
        <f t="shared" si="129"/>
        <v/>
      </c>
      <c r="AJ118" s="46" t="str">
        <f t="shared" si="130"/>
        <v/>
      </c>
      <c r="AK118" s="120" t="str">
        <f t="shared" si="131"/>
        <v/>
      </c>
      <c r="AL118" s="120" t="str">
        <f t="shared" si="132"/>
        <v/>
      </c>
      <c r="AM118" s="120" t="str">
        <f t="shared" si="133"/>
        <v/>
      </c>
      <c r="AN118" s="211">
        <v>16</v>
      </c>
      <c r="AP118" s="39">
        <f t="shared" si="149"/>
        <v>0.167433</v>
      </c>
      <c r="AQ118" s="39">
        <f t="shared" si="150"/>
        <v>0.53859500000000005</v>
      </c>
      <c r="AR118" s="39">
        <f t="shared" si="151"/>
        <v>-0.14937</v>
      </c>
      <c r="AS118" s="39">
        <f t="shared" si="152"/>
        <v>3.9154000000000001E-2</v>
      </c>
      <c r="AT118" s="39">
        <f t="shared" si="153"/>
        <v>-3.4399999999999999E-3</v>
      </c>
      <c r="AU118" s="39">
        <f t="shared" si="154"/>
        <v>1.16E-4</v>
      </c>
      <c r="AV118" s="39">
        <f t="shared" si="155"/>
        <v>0.70746268715171445</v>
      </c>
      <c r="AX118" s="157">
        <v>11.4</v>
      </c>
      <c r="AY118" s="120">
        <f t="shared" si="156"/>
        <v>0.57000000000000006</v>
      </c>
      <c r="AZ118" s="39">
        <f t="shared" si="157"/>
        <v>0.19783611037856053</v>
      </c>
      <c r="BA118" s="118">
        <f t="shared" si="158"/>
        <v>0.2</v>
      </c>
      <c r="BB118" s="39">
        <f t="shared" si="134"/>
        <v>3.9567222075712109E-2</v>
      </c>
      <c r="BC118" s="39">
        <f t="shared" si="159"/>
        <v>0.14413891295073517</v>
      </c>
      <c r="BD118" s="39">
        <f t="shared" si="160"/>
        <v>0.38154224540500781</v>
      </c>
      <c r="BE118" s="39">
        <f t="shared" si="161"/>
        <v>0.86036705584902362</v>
      </c>
      <c r="BF118" s="39">
        <f t="shared" si="162"/>
        <v>0.67190930125403137</v>
      </c>
      <c r="BG118" s="39">
        <f t="shared" si="135"/>
        <v>0.70746268715171445</v>
      </c>
      <c r="BH118" s="39">
        <f t="shared" si="136"/>
        <v>0.11455223929309533</v>
      </c>
      <c r="BI118" s="39">
        <f t="shared" si="170"/>
        <v>0.55992441771169288</v>
      </c>
      <c r="BK118" s="129" t="str">
        <f t="shared" si="138"/>
        <v>0</v>
      </c>
      <c r="BL118" s="120" t="str">
        <f t="shared" si="139"/>
        <v>0</v>
      </c>
      <c r="BM118" s="120" t="str">
        <f t="shared" si="140"/>
        <v>No válido</v>
      </c>
      <c r="BN118" s="36"/>
      <c r="BO118" s="129" t="str">
        <f t="shared" si="163"/>
        <v>1</v>
      </c>
      <c r="BP118" s="120" t="str">
        <f t="shared" si="171"/>
        <v>0</v>
      </c>
      <c r="BQ118" s="120" t="str">
        <f t="shared" si="164"/>
        <v>0</v>
      </c>
      <c r="BR118" s="120" t="str">
        <f t="shared" si="165"/>
        <v>No válido</v>
      </c>
      <c r="BT118" s="129" t="str">
        <f t="shared" si="142"/>
        <v>0</v>
      </c>
      <c r="BU118" s="120" t="str">
        <f t="shared" si="143"/>
        <v>1</v>
      </c>
      <c r="BV118" s="120" t="str">
        <f t="shared" si="144"/>
        <v>No válido</v>
      </c>
      <c r="BX118" s="129" t="str">
        <f t="shared" si="145"/>
        <v>1</v>
      </c>
      <c r="BY118" s="129" t="str">
        <f t="shared" si="166"/>
        <v>0</v>
      </c>
      <c r="BZ118" s="27" t="str">
        <f t="shared" si="167"/>
        <v>1</v>
      </c>
      <c r="CA118" s="120" t="str">
        <f t="shared" si="146"/>
        <v>No válido</v>
      </c>
      <c r="CC118" s="129" t="str">
        <f t="shared" si="147"/>
        <v>1</v>
      </c>
      <c r="CD118" s="129" t="str">
        <f t="shared" si="168"/>
        <v>1</v>
      </c>
      <c r="CE118" s="129" t="str">
        <f t="shared" si="169"/>
        <v>0</v>
      </c>
      <c r="CF118" s="120" t="str">
        <f t="shared" si="148"/>
        <v>No válido</v>
      </c>
    </row>
    <row r="119" spans="1:84" x14ac:dyDescent="0.25">
      <c r="A119" s="150" t="s">
        <v>78</v>
      </c>
      <c r="D119" s="120">
        <v>109</v>
      </c>
      <c r="E119" s="24">
        <f>'Cálculos - Distintas Ecuaciones'!F125</f>
        <v>27878</v>
      </c>
      <c r="F119" s="39">
        <f>'Cálculos - Distintas Ecuaciones'!Z125+Cunetas!J247+Cunetas!J248+Cunetas!J249+Cunetas!J250</f>
        <v>0.98208921969807539</v>
      </c>
      <c r="G119" s="50" t="str">
        <f t="shared" si="107"/>
        <v>1</v>
      </c>
      <c r="H119" s="120">
        <f t="shared" si="108"/>
        <v>2.4E-2</v>
      </c>
      <c r="I119" s="20">
        <v>0.05</v>
      </c>
      <c r="J119" s="45">
        <v>1.2</v>
      </c>
      <c r="K119" s="67" t="str">
        <f t="shared" si="110"/>
        <v>Circular</v>
      </c>
      <c r="L119" s="45"/>
      <c r="M119" s="45"/>
      <c r="N119" s="5">
        <v>0.53659638131892584</v>
      </c>
      <c r="O119" s="5">
        <f t="shared" si="111"/>
        <v>2.9298519290998972</v>
      </c>
      <c r="P119" s="5">
        <f t="shared" si="112"/>
        <v>1.193281159053716</v>
      </c>
      <c r="Q119" s="5">
        <f t="shared" si="113"/>
        <v>0.48954417544400552</v>
      </c>
      <c r="R119" s="5">
        <f t="shared" si="114"/>
        <v>1.7579111574599382</v>
      </c>
      <c r="S119" s="5">
        <f t="shared" si="115"/>
        <v>0.27848061226903154</v>
      </c>
      <c r="T119" s="117">
        <f t="shared" si="116"/>
        <v>1.0000000007514689</v>
      </c>
      <c r="U119" s="5">
        <f t="shared" si="117"/>
        <v>2.0061299244492954</v>
      </c>
      <c r="V119" s="39">
        <f t="shared" si="118"/>
        <v>1.2747175805296931E-2</v>
      </c>
      <c r="W119" s="46" t="str">
        <f t="shared" si="119"/>
        <v>Aceptable</v>
      </c>
      <c r="X119" s="5">
        <f t="shared" si="120"/>
        <v>9.8317964877387823E-2</v>
      </c>
      <c r="Y119" s="5">
        <f t="shared" si="121"/>
        <v>9.8317964729622051E-2</v>
      </c>
      <c r="Z119" s="5">
        <f t="shared" si="122"/>
        <v>1.4776577184072437E-10</v>
      </c>
      <c r="AB119" s="120"/>
      <c r="AC119" s="120" t="str">
        <f t="shared" si="123"/>
        <v/>
      </c>
      <c r="AD119" s="120" t="str">
        <f t="shared" si="124"/>
        <v/>
      </c>
      <c r="AE119" s="120" t="str">
        <f t="shared" si="125"/>
        <v/>
      </c>
      <c r="AF119" s="120" t="str">
        <f t="shared" si="126"/>
        <v/>
      </c>
      <c r="AG119" s="120" t="str">
        <f t="shared" si="127"/>
        <v/>
      </c>
      <c r="AH119" s="120" t="str">
        <f t="shared" si="128"/>
        <v/>
      </c>
      <c r="AI119" s="120" t="str">
        <f t="shared" si="129"/>
        <v/>
      </c>
      <c r="AJ119" s="46" t="str">
        <f t="shared" si="130"/>
        <v/>
      </c>
      <c r="AK119" s="120" t="str">
        <f t="shared" si="131"/>
        <v/>
      </c>
      <c r="AL119" s="120" t="str">
        <f t="shared" si="132"/>
        <v/>
      </c>
      <c r="AM119" s="120" t="str">
        <f t="shared" si="133"/>
        <v/>
      </c>
      <c r="AN119" s="211">
        <v>10</v>
      </c>
      <c r="AP119" s="39">
        <f t="shared" si="149"/>
        <v>0.167433</v>
      </c>
      <c r="AQ119" s="39">
        <f t="shared" si="150"/>
        <v>0.53859500000000005</v>
      </c>
      <c r="AR119" s="39">
        <f t="shared" si="151"/>
        <v>-0.14937</v>
      </c>
      <c r="AS119" s="39">
        <f t="shared" si="152"/>
        <v>3.9154000000000001E-2</v>
      </c>
      <c r="AT119" s="39">
        <f t="shared" si="153"/>
        <v>-3.4399999999999999E-3</v>
      </c>
      <c r="AU119" s="39">
        <f t="shared" si="154"/>
        <v>1.16E-4</v>
      </c>
      <c r="AV119" s="39">
        <f t="shared" si="155"/>
        <v>0.73277765623954538</v>
      </c>
      <c r="AX119" s="157">
        <v>12.55</v>
      </c>
      <c r="AY119" s="120">
        <f t="shared" si="156"/>
        <v>0.62750000000000006</v>
      </c>
      <c r="AZ119" s="39">
        <f t="shared" si="157"/>
        <v>0.20512524331146459</v>
      </c>
      <c r="BA119" s="118">
        <f t="shared" si="158"/>
        <v>0.2</v>
      </c>
      <c r="BB119" s="39">
        <f t="shared" si="134"/>
        <v>4.1025048662292923E-2</v>
      </c>
      <c r="BC119" s="39">
        <f t="shared" si="159"/>
        <v>0.15997705635647644</v>
      </c>
      <c r="BD119" s="39">
        <f t="shared" si="160"/>
        <v>0.40612734833023395</v>
      </c>
      <c r="BE119" s="39">
        <f t="shared" si="161"/>
        <v>0.8682981906594629</v>
      </c>
      <c r="BF119" s="39">
        <f t="shared" si="162"/>
        <v>0.64692553898969674</v>
      </c>
      <c r="BG119" s="39">
        <f t="shared" si="135"/>
        <v>0.73277765623954538</v>
      </c>
      <c r="BH119" s="39">
        <f t="shared" si="136"/>
        <v>8.7731380199621109E-2</v>
      </c>
      <c r="BI119" s="39">
        <f t="shared" si="170"/>
        <v>0.53910461582474734</v>
      </c>
      <c r="BK119" s="129" t="str">
        <f t="shared" si="138"/>
        <v>0</v>
      </c>
      <c r="BL119" s="120" t="str">
        <f t="shared" si="139"/>
        <v>0</v>
      </c>
      <c r="BM119" s="120" t="str">
        <f t="shared" si="140"/>
        <v>No válido</v>
      </c>
      <c r="BN119" s="36"/>
      <c r="BO119" s="129" t="str">
        <f t="shared" si="163"/>
        <v>1</v>
      </c>
      <c r="BP119" s="120" t="str">
        <f t="shared" si="171"/>
        <v>0</v>
      </c>
      <c r="BQ119" s="120" t="str">
        <f t="shared" si="164"/>
        <v>0</v>
      </c>
      <c r="BR119" s="120" t="str">
        <f t="shared" si="165"/>
        <v>No válido</v>
      </c>
      <c r="BT119" s="129" t="str">
        <f t="shared" si="142"/>
        <v>0</v>
      </c>
      <c r="BU119" s="120" t="str">
        <f t="shared" si="143"/>
        <v>1</v>
      </c>
      <c r="BV119" s="120" t="str">
        <f t="shared" si="144"/>
        <v>No válido</v>
      </c>
      <c r="BX119" s="129" t="str">
        <f t="shared" si="145"/>
        <v>1</v>
      </c>
      <c r="BY119" s="129" t="str">
        <f t="shared" si="166"/>
        <v>0</v>
      </c>
      <c r="BZ119" s="27" t="str">
        <f t="shared" si="167"/>
        <v>1</v>
      </c>
      <c r="CA119" s="120" t="str">
        <f t="shared" si="146"/>
        <v>No válido</v>
      </c>
      <c r="CC119" s="129" t="str">
        <f t="shared" si="147"/>
        <v>1</v>
      </c>
      <c r="CD119" s="129" t="str">
        <f t="shared" si="168"/>
        <v>1</v>
      </c>
      <c r="CE119" s="129" t="str">
        <f t="shared" si="169"/>
        <v>0</v>
      </c>
      <c r="CF119" s="120" t="str">
        <f t="shared" si="148"/>
        <v>No válido</v>
      </c>
    </row>
    <row r="120" spans="1:84" x14ac:dyDescent="0.25">
      <c r="A120" s="150" t="s">
        <v>80</v>
      </c>
      <c r="D120" s="120">
        <v>110</v>
      </c>
      <c r="E120" s="24">
        <f>'Cálculos - Distintas Ecuaciones'!F126</f>
        <v>28026.5</v>
      </c>
      <c r="F120" s="39">
        <f>'Cálculos - Distintas Ecuaciones'!Z126+Cunetas!J251+Cunetas!J252</f>
        <v>0.56380324727634101</v>
      </c>
      <c r="G120" s="50" t="str">
        <f t="shared" si="107"/>
        <v>1</v>
      </c>
      <c r="H120" s="120">
        <f t="shared" si="108"/>
        <v>2.4E-2</v>
      </c>
      <c r="I120" s="20">
        <v>0.05</v>
      </c>
      <c r="J120" s="45">
        <v>1.2</v>
      </c>
      <c r="K120" s="67" t="str">
        <f t="shared" si="110"/>
        <v>Circular</v>
      </c>
      <c r="L120" s="45"/>
      <c r="M120" s="45"/>
      <c r="N120" s="5">
        <v>0.40205932413410994</v>
      </c>
      <c r="O120" s="5">
        <f t="shared" si="111"/>
        <v>2.469194981553227</v>
      </c>
      <c r="P120" s="5">
        <f t="shared" si="112"/>
        <v>1.1328185888971891</v>
      </c>
      <c r="Q120" s="5">
        <f t="shared" si="113"/>
        <v>0.33233965811970417</v>
      </c>
      <c r="R120" s="5">
        <f t="shared" si="114"/>
        <v>1.4815169889319362</v>
      </c>
      <c r="S120" s="5">
        <f t="shared" si="115"/>
        <v>0.22432389274138287</v>
      </c>
      <c r="T120" s="117">
        <f t="shared" si="116"/>
        <v>0.99999999889778257</v>
      </c>
      <c r="U120" s="5">
        <f t="shared" si="117"/>
        <v>1.6964669533157757</v>
      </c>
      <c r="V120" s="39">
        <f t="shared" si="118"/>
        <v>1.2162212335977213E-2</v>
      </c>
      <c r="W120" s="46" t="str">
        <f t="shared" si="119"/>
        <v>Aceptable</v>
      </c>
      <c r="X120" s="5">
        <f t="shared" si="120"/>
        <v>3.2403068464765233E-2</v>
      </c>
      <c r="Y120" s="5">
        <f t="shared" si="121"/>
        <v>3.2403068536195678E-2</v>
      </c>
      <c r="Z120" s="5">
        <f t="shared" si="122"/>
        <v>-7.1430444892328637E-11</v>
      </c>
      <c r="AB120" s="120"/>
      <c r="AC120" s="120" t="str">
        <f t="shared" si="123"/>
        <v/>
      </c>
      <c r="AD120" s="120" t="str">
        <f t="shared" si="124"/>
        <v/>
      </c>
      <c r="AE120" s="120" t="str">
        <f t="shared" si="125"/>
        <v/>
      </c>
      <c r="AF120" s="120" t="str">
        <f t="shared" si="126"/>
        <v/>
      </c>
      <c r="AG120" s="120" t="str">
        <f t="shared" si="127"/>
        <v/>
      </c>
      <c r="AH120" s="120" t="str">
        <f t="shared" si="128"/>
        <v/>
      </c>
      <c r="AI120" s="120" t="str">
        <f t="shared" si="129"/>
        <v/>
      </c>
      <c r="AJ120" s="46" t="str">
        <f t="shared" si="130"/>
        <v/>
      </c>
      <c r="AK120" s="120" t="str">
        <f t="shared" si="131"/>
        <v/>
      </c>
      <c r="AL120" s="120" t="str">
        <f t="shared" si="132"/>
        <v/>
      </c>
      <c r="AM120" s="120" t="str">
        <f t="shared" si="133"/>
        <v/>
      </c>
      <c r="AN120" s="211">
        <v>-15</v>
      </c>
      <c r="AP120" s="39">
        <f t="shared" si="149"/>
        <v>0.167433</v>
      </c>
      <c r="AQ120" s="39">
        <f t="shared" si="150"/>
        <v>0.53859500000000005</v>
      </c>
      <c r="AR120" s="39">
        <f t="shared" si="151"/>
        <v>-0.14937</v>
      </c>
      <c r="AS120" s="39">
        <f t="shared" si="152"/>
        <v>3.9154000000000001E-2</v>
      </c>
      <c r="AT120" s="39">
        <f t="shared" si="153"/>
        <v>-3.4399999999999999E-3</v>
      </c>
      <c r="AU120" s="39">
        <f t="shared" si="154"/>
        <v>1.16E-4</v>
      </c>
      <c r="AV120" s="39">
        <f t="shared" si="155"/>
        <v>0.52625298624369188</v>
      </c>
      <c r="AX120" s="157">
        <v>13.4</v>
      </c>
      <c r="AY120" s="120">
        <f t="shared" si="156"/>
        <v>0.67</v>
      </c>
      <c r="AZ120" s="39">
        <f t="shared" si="157"/>
        <v>0.14668706033091283</v>
      </c>
      <c r="BA120" s="118">
        <f t="shared" si="158"/>
        <v>0.2</v>
      </c>
      <c r="BB120" s="39">
        <f t="shared" si="134"/>
        <v>2.9337412066182567E-2</v>
      </c>
      <c r="BC120" s="39">
        <f t="shared" si="159"/>
        <v>0.16297364530209466</v>
      </c>
      <c r="BD120" s="39">
        <f t="shared" si="160"/>
        <v>0.33899811769919008</v>
      </c>
      <c r="BE120" s="39">
        <f t="shared" si="161"/>
        <v>0.80102966206705495</v>
      </c>
      <c r="BF120" s="39">
        <f t="shared" si="162"/>
        <v>0.47002777976624499</v>
      </c>
      <c r="BG120" s="39">
        <f t="shared" si="135"/>
        <v>0.52625298624369188</v>
      </c>
      <c r="BH120" s="39">
        <f t="shared" si="136"/>
        <v>-0.1197891781302568</v>
      </c>
      <c r="BI120" s="39">
        <f t="shared" si="170"/>
        <v>0.39168981647187084</v>
      </c>
      <c r="BK120" s="129" t="str">
        <f t="shared" si="138"/>
        <v>0</v>
      </c>
      <c r="BL120" s="120" t="str">
        <f t="shared" si="139"/>
        <v>0</v>
      </c>
      <c r="BM120" s="120" t="str">
        <f t="shared" si="140"/>
        <v>No válido</v>
      </c>
      <c r="BN120" s="36"/>
      <c r="BO120" s="129" t="str">
        <f t="shared" si="163"/>
        <v>1</v>
      </c>
      <c r="BP120" s="120" t="str">
        <f t="shared" si="171"/>
        <v>0</v>
      </c>
      <c r="BQ120" s="120" t="str">
        <f t="shared" si="164"/>
        <v>0</v>
      </c>
      <c r="BR120" s="120" t="str">
        <f t="shared" si="165"/>
        <v>No válido</v>
      </c>
      <c r="BT120" s="129" t="str">
        <f t="shared" si="142"/>
        <v>0</v>
      </c>
      <c r="BU120" s="120" t="str">
        <f t="shared" si="143"/>
        <v>1</v>
      </c>
      <c r="BV120" s="120" t="str">
        <f t="shared" si="144"/>
        <v>No válido</v>
      </c>
      <c r="BX120" s="129" t="str">
        <f t="shared" si="145"/>
        <v>1</v>
      </c>
      <c r="BY120" s="129" t="str">
        <f t="shared" si="166"/>
        <v>0</v>
      </c>
      <c r="BZ120" s="27" t="str">
        <f t="shared" si="167"/>
        <v>1</v>
      </c>
      <c r="CA120" s="120" t="str">
        <f t="shared" si="146"/>
        <v>No válido</v>
      </c>
      <c r="CC120" s="129" t="str">
        <f t="shared" si="147"/>
        <v>1</v>
      </c>
      <c r="CD120" s="129" t="str">
        <f t="shared" si="168"/>
        <v>1</v>
      </c>
      <c r="CE120" s="129" t="str">
        <f t="shared" si="169"/>
        <v>0</v>
      </c>
      <c r="CF120" s="120" t="str">
        <f t="shared" si="148"/>
        <v>No válido</v>
      </c>
    </row>
  </sheetData>
  <mergeCells count="59">
    <mergeCell ref="CC6:CF6"/>
    <mergeCell ref="BF9:BF10"/>
    <mergeCell ref="BG9:BG10"/>
    <mergeCell ref="BH9:BH10"/>
    <mergeCell ref="BT6:CA6"/>
    <mergeCell ref="BK6:BR6"/>
    <mergeCell ref="BT8:BV8"/>
    <mergeCell ref="BX8:CA8"/>
    <mergeCell ref="BO8:BR8"/>
    <mergeCell ref="CC8:CF8"/>
    <mergeCell ref="BO9:BO10"/>
    <mergeCell ref="BI9:BI10"/>
    <mergeCell ref="BK9:BK10"/>
    <mergeCell ref="BL9:BL10"/>
    <mergeCell ref="BM9:BM10"/>
    <mergeCell ref="BT9:BT10"/>
    <mergeCell ref="V9:V10"/>
    <mergeCell ref="BK2:BL2"/>
    <mergeCell ref="C5:D5"/>
    <mergeCell ref="C6:D6"/>
    <mergeCell ref="N8:Z8"/>
    <mergeCell ref="AB8:AM8"/>
    <mergeCell ref="AP8:AU8"/>
    <mergeCell ref="BK8:BM8"/>
    <mergeCell ref="D9:D10"/>
    <mergeCell ref="E9:E10"/>
    <mergeCell ref="H9:H10"/>
    <mergeCell ref="I9:I10"/>
    <mergeCell ref="L9:M9"/>
    <mergeCell ref="BB9:BB10"/>
    <mergeCell ref="AV9:AV10"/>
    <mergeCell ref="AY9:AY10"/>
    <mergeCell ref="X9:Z9"/>
    <mergeCell ref="AI9:AI10"/>
    <mergeCell ref="AK9:AM9"/>
    <mergeCell ref="AZ9:AZ10"/>
    <mergeCell ref="BA9:BA10"/>
    <mergeCell ref="BE9:BE10"/>
    <mergeCell ref="AP9:AP10"/>
    <mergeCell ref="AQ9:AQ10"/>
    <mergeCell ref="AR9:AR10"/>
    <mergeCell ref="AS9:AS10"/>
    <mergeCell ref="AT9:AT10"/>
    <mergeCell ref="AU9:AU10"/>
    <mergeCell ref="BC9:BC10"/>
    <mergeCell ref="BD9:BD10"/>
    <mergeCell ref="CA9:CA10"/>
    <mergeCell ref="CF9:CF10"/>
    <mergeCell ref="BP9:BP10"/>
    <mergeCell ref="BQ9:BQ10"/>
    <mergeCell ref="BR9:BR10"/>
    <mergeCell ref="CC9:CC10"/>
    <mergeCell ref="CD9:CD10"/>
    <mergeCell ref="CE9:CE10"/>
    <mergeCell ref="BU9:BU10"/>
    <mergeCell ref="BV9:BV10"/>
    <mergeCell ref="BX9:BX10"/>
    <mergeCell ref="BY9:BY10"/>
    <mergeCell ref="BZ9:BZ10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14"/>
  <sheetViews>
    <sheetView zoomScale="80" zoomScaleNormal="80" workbookViewId="0">
      <selection activeCell="L32" sqref="L32"/>
    </sheetView>
  </sheetViews>
  <sheetFormatPr baseColWidth="10" defaultRowHeight="15" x14ac:dyDescent="0.25"/>
  <cols>
    <col min="4" max="4" width="13.85546875" bestFit="1" customWidth="1"/>
    <col min="7" max="7" width="9.7109375" customWidth="1"/>
  </cols>
  <sheetData>
    <row r="3" spans="2:17" x14ac:dyDescent="0.25">
      <c r="B3" s="221" t="s">
        <v>43</v>
      </c>
      <c r="C3" s="217" t="s">
        <v>44</v>
      </c>
      <c r="D3" s="217" t="s">
        <v>82</v>
      </c>
      <c r="G3" s="19" t="s">
        <v>307</v>
      </c>
      <c r="J3" s="19" t="s">
        <v>308</v>
      </c>
      <c r="M3" s="19" t="s">
        <v>309</v>
      </c>
      <c r="P3" s="19" t="s">
        <v>310</v>
      </c>
    </row>
    <row r="4" spans="2:17" x14ac:dyDescent="0.25">
      <c r="B4" s="221"/>
      <c r="C4" s="218"/>
      <c r="D4" s="218"/>
      <c r="G4" s="221" t="s">
        <v>43</v>
      </c>
      <c r="H4" s="217" t="s">
        <v>44</v>
      </c>
      <c r="J4" s="221" t="s">
        <v>43</v>
      </c>
      <c r="K4" s="217" t="s">
        <v>44</v>
      </c>
      <c r="M4" s="221" t="s">
        <v>43</v>
      </c>
      <c r="N4" s="217" t="s">
        <v>44</v>
      </c>
      <c r="P4" s="221" t="s">
        <v>43</v>
      </c>
      <c r="Q4" s="217" t="s">
        <v>44</v>
      </c>
    </row>
    <row r="5" spans="2:17" x14ac:dyDescent="0.25">
      <c r="B5" s="150">
        <v>1</v>
      </c>
      <c r="C5" s="24">
        <f>'Cálculos - Distintas Ecuaciones'!F16</f>
        <v>118.5</v>
      </c>
      <c r="D5" s="150" t="s">
        <v>78</v>
      </c>
      <c r="G5" s="221"/>
      <c r="H5" s="218"/>
      <c r="J5" s="221"/>
      <c r="K5" s="218"/>
      <c r="M5" s="221"/>
      <c r="N5" s="218"/>
      <c r="P5" s="221"/>
      <c r="Q5" s="218"/>
    </row>
    <row r="6" spans="2:17" x14ac:dyDescent="0.25">
      <c r="B6" s="150">
        <v>2</v>
      </c>
      <c r="C6" s="24">
        <f>'Cálculos - Distintas Ecuaciones'!F17</f>
        <v>250</v>
      </c>
      <c r="D6" s="150" t="s">
        <v>78</v>
      </c>
      <c r="G6" s="150">
        <v>1</v>
      </c>
      <c r="H6" s="24">
        <v>118.5</v>
      </c>
      <c r="J6" s="150">
        <v>1</v>
      </c>
      <c r="K6" s="24">
        <v>436.2</v>
      </c>
      <c r="M6" s="150">
        <v>1</v>
      </c>
      <c r="N6" s="24">
        <v>858</v>
      </c>
      <c r="P6" s="150">
        <v>1</v>
      </c>
      <c r="Q6" s="24">
        <v>12316.7</v>
      </c>
    </row>
    <row r="7" spans="2:17" x14ac:dyDescent="0.25">
      <c r="B7" s="150">
        <v>3</v>
      </c>
      <c r="C7" s="24">
        <f>'Cálculos - Distintas Ecuaciones'!F18</f>
        <v>436.2</v>
      </c>
      <c r="D7" s="150" t="s">
        <v>162</v>
      </c>
      <c r="G7" s="150">
        <v>2</v>
      </c>
      <c r="H7" s="24">
        <v>250</v>
      </c>
      <c r="J7" s="150">
        <v>2</v>
      </c>
      <c r="K7" s="24">
        <v>1905.6</v>
      </c>
      <c r="M7" s="150">
        <v>2</v>
      </c>
      <c r="N7" s="24">
        <v>1040</v>
      </c>
      <c r="P7" s="150">
        <v>2</v>
      </c>
      <c r="Q7" s="24">
        <v>12880.9</v>
      </c>
    </row>
    <row r="8" spans="2:17" x14ac:dyDescent="0.25">
      <c r="B8" s="150">
        <v>4</v>
      </c>
      <c r="C8" s="24">
        <f>'Cálculos - Distintas Ecuaciones'!F19</f>
        <v>858</v>
      </c>
      <c r="D8" s="150" t="s">
        <v>80</v>
      </c>
      <c r="G8" s="150">
        <v>3</v>
      </c>
      <c r="H8" s="24">
        <v>5494</v>
      </c>
      <c r="J8" s="150">
        <v>3</v>
      </c>
      <c r="K8" s="24">
        <v>2992.8</v>
      </c>
      <c r="M8" s="150">
        <v>3</v>
      </c>
      <c r="N8" s="24">
        <v>1321.5</v>
      </c>
      <c r="P8" s="150">
        <v>3</v>
      </c>
      <c r="Q8" s="24">
        <v>22197</v>
      </c>
    </row>
    <row r="9" spans="2:17" x14ac:dyDescent="0.25">
      <c r="B9" s="150">
        <v>5</v>
      </c>
      <c r="C9" s="24">
        <f>'Cálculos - Distintas Ecuaciones'!F20</f>
        <v>1040</v>
      </c>
      <c r="D9" s="150" t="s">
        <v>80</v>
      </c>
      <c r="G9" s="150">
        <v>4</v>
      </c>
      <c r="H9" s="24">
        <v>6057</v>
      </c>
      <c r="J9" s="150">
        <v>4</v>
      </c>
      <c r="K9" s="24">
        <v>4661.6000000000004</v>
      </c>
      <c r="M9" s="150">
        <v>4</v>
      </c>
      <c r="N9" s="24">
        <v>1440</v>
      </c>
      <c r="P9" s="150">
        <v>4</v>
      </c>
      <c r="Q9" s="24">
        <v>22325.8</v>
      </c>
    </row>
    <row r="10" spans="2:17" x14ac:dyDescent="0.25">
      <c r="B10" s="150">
        <v>6</v>
      </c>
      <c r="C10" s="24">
        <f>'Cálculos - Distintas Ecuaciones'!F21</f>
        <v>1321.5</v>
      </c>
      <c r="D10" s="150" t="s">
        <v>80</v>
      </c>
      <c r="G10" s="150">
        <v>5</v>
      </c>
      <c r="H10" s="24">
        <v>7435</v>
      </c>
      <c r="J10" s="150">
        <v>5</v>
      </c>
      <c r="K10" s="24">
        <v>4785</v>
      </c>
      <c r="M10" s="150">
        <v>5</v>
      </c>
      <c r="N10" s="24">
        <v>1719.5</v>
      </c>
      <c r="P10" s="150">
        <v>5</v>
      </c>
      <c r="Q10" s="24">
        <v>22649.1</v>
      </c>
    </row>
    <row r="11" spans="2:17" x14ac:dyDescent="0.25">
      <c r="B11" s="150">
        <v>7</v>
      </c>
      <c r="C11" s="24">
        <f>'Cálculos - Distintas Ecuaciones'!F22</f>
        <v>1440</v>
      </c>
      <c r="D11" s="150" t="s">
        <v>80</v>
      </c>
      <c r="G11" s="150">
        <v>6</v>
      </c>
      <c r="H11" s="24">
        <v>7918</v>
      </c>
      <c r="J11" s="150">
        <v>6</v>
      </c>
      <c r="K11" s="24">
        <v>4978</v>
      </c>
      <c r="M11" s="150">
        <v>6</v>
      </c>
      <c r="N11" s="24">
        <v>2298.4</v>
      </c>
      <c r="P11" s="150">
        <v>6</v>
      </c>
      <c r="Q11" s="24">
        <v>23881.7</v>
      </c>
    </row>
    <row r="12" spans="2:17" x14ac:dyDescent="0.25">
      <c r="B12" s="150">
        <v>8</v>
      </c>
      <c r="C12" s="24">
        <f>'Cálculos - Distintas Ecuaciones'!F23</f>
        <v>1719.5</v>
      </c>
      <c r="D12" s="150" t="s">
        <v>80</v>
      </c>
      <c r="G12" s="150">
        <v>7</v>
      </c>
      <c r="H12" s="24">
        <v>9778</v>
      </c>
      <c r="J12" s="150">
        <v>7</v>
      </c>
      <c r="K12" s="24">
        <v>7225</v>
      </c>
      <c r="M12" s="150">
        <v>7</v>
      </c>
      <c r="N12" s="24">
        <v>2815</v>
      </c>
      <c r="P12" s="150">
        <v>7</v>
      </c>
      <c r="Q12" s="24">
        <v>25478</v>
      </c>
    </row>
    <row r="13" spans="2:17" x14ac:dyDescent="0.25">
      <c r="B13" s="150">
        <v>9</v>
      </c>
      <c r="C13" s="24">
        <f>'Cálculos - Distintas Ecuaciones'!F24</f>
        <v>1905.6</v>
      </c>
      <c r="D13" s="150" t="s">
        <v>162</v>
      </c>
      <c r="G13" s="150">
        <v>8</v>
      </c>
      <c r="H13" s="24">
        <v>27878</v>
      </c>
      <c r="J13" s="150">
        <v>8</v>
      </c>
      <c r="K13" s="24">
        <v>7615</v>
      </c>
      <c r="M13" s="150">
        <v>8</v>
      </c>
      <c r="N13" s="24">
        <v>3281.5</v>
      </c>
      <c r="P13" s="150">
        <v>8</v>
      </c>
      <c r="Q13" s="24">
        <v>25617.8</v>
      </c>
    </row>
    <row r="14" spans="2:17" x14ac:dyDescent="0.25">
      <c r="B14" s="150">
        <v>10</v>
      </c>
      <c r="C14" s="24">
        <f>'Cálculos - Distintas Ecuaciones'!F25</f>
        <v>2298.4</v>
      </c>
      <c r="D14" s="150" t="s">
        <v>80</v>
      </c>
      <c r="J14" s="150">
        <v>9</v>
      </c>
      <c r="K14" s="24">
        <v>8387.5</v>
      </c>
      <c r="M14" s="150">
        <v>9</v>
      </c>
      <c r="N14" s="24">
        <v>3590</v>
      </c>
      <c r="P14" s="150">
        <v>9</v>
      </c>
      <c r="Q14" s="24">
        <v>25998.2</v>
      </c>
    </row>
    <row r="15" spans="2:17" x14ac:dyDescent="0.25">
      <c r="B15" s="150">
        <v>11</v>
      </c>
      <c r="C15" s="24">
        <f>'Cálculos - Distintas Ecuaciones'!F26</f>
        <v>2815</v>
      </c>
      <c r="D15" s="150" t="s">
        <v>80</v>
      </c>
      <c r="J15" s="150">
        <v>10</v>
      </c>
      <c r="K15" s="24">
        <v>8693</v>
      </c>
      <c r="M15" s="150">
        <v>10</v>
      </c>
      <c r="N15" s="24">
        <v>4140</v>
      </c>
      <c r="P15" s="150">
        <v>10</v>
      </c>
      <c r="Q15" s="24">
        <v>26355</v>
      </c>
    </row>
    <row r="16" spans="2:17" x14ac:dyDescent="0.25">
      <c r="B16" s="150">
        <v>12</v>
      </c>
      <c r="C16" s="24">
        <f>'Cálculos - Distintas Ecuaciones'!F27</f>
        <v>2992.8</v>
      </c>
      <c r="D16" s="150" t="s">
        <v>162</v>
      </c>
      <c r="J16" s="150">
        <v>11</v>
      </c>
      <c r="K16" s="24">
        <v>10468.5</v>
      </c>
      <c r="M16" s="150">
        <v>11</v>
      </c>
      <c r="N16" s="24">
        <v>5230</v>
      </c>
      <c r="P16" s="150">
        <v>11</v>
      </c>
      <c r="Q16" s="24">
        <v>27014</v>
      </c>
    </row>
    <row r="17" spans="2:17" x14ac:dyDescent="0.25">
      <c r="B17" s="150">
        <v>13</v>
      </c>
      <c r="C17" s="24">
        <f>'Cálculos - Distintas Ecuaciones'!F28</f>
        <v>3281.5</v>
      </c>
      <c r="D17" s="150" t="s">
        <v>80</v>
      </c>
      <c r="J17" s="150">
        <v>12</v>
      </c>
      <c r="K17" s="24">
        <v>11531.2</v>
      </c>
      <c r="M17" s="150">
        <v>12</v>
      </c>
      <c r="N17" s="24">
        <v>6360</v>
      </c>
      <c r="P17" s="150">
        <v>12</v>
      </c>
      <c r="Q17" s="24">
        <v>27141.200000000001</v>
      </c>
    </row>
    <row r="18" spans="2:17" x14ac:dyDescent="0.25">
      <c r="B18" s="150">
        <v>14</v>
      </c>
      <c r="C18" s="24">
        <f>'Cálculos - Distintas Ecuaciones'!F29</f>
        <v>3590</v>
      </c>
      <c r="D18" s="150" t="s">
        <v>80</v>
      </c>
      <c r="J18" s="150">
        <v>13</v>
      </c>
      <c r="K18" s="24">
        <v>11700</v>
      </c>
      <c r="M18" s="150">
        <v>13</v>
      </c>
      <c r="N18" s="24">
        <v>6623.4</v>
      </c>
      <c r="P18" s="150">
        <v>13</v>
      </c>
      <c r="Q18" s="24">
        <v>27448.7</v>
      </c>
    </row>
    <row r="19" spans="2:17" x14ac:dyDescent="0.25">
      <c r="B19" s="150">
        <v>15</v>
      </c>
      <c r="C19" s="24">
        <f>'Cálculos - Distintas Ecuaciones'!F30</f>
        <v>4140</v>
      </c>
      <c r="D19" s="150" t="s">
        <v>80</v>
      </c>
      <c r="J19" s="150">
        <v>14</v>
      </c>
      <c r="K19" s="24">
        <v>13805.4</v>
      </c>
      <c r="M19" s="150">
        <v>14</v>
      </c>
      <c r="N19" s="24">
        <v>6794</v>
      </c>
    </row>
    <row r="20" spans="2:17" x14ac:dyDescent="0.25">
      <c r="B20" s="150">
        <v>16</v>
      </c>
      <c r="C20" s="24">
        <f>'Cálculos - Distintas Ecuaciones'!F31</f>
        <v>4661.6000000000004</v>
      </c>
      <c r="D20" s="150" t="s">
        <v>162</v>
      </c>
      <c r="J20" s="150">
        <v>15</v>
      </c>
      <c r="K20" s="24">
        <v>14070</v>
      </c>
      <c r="M20" s="150">
        <v>15</v>
      </c>
      <c r="N20" s="24">
        <v>8942.2000000000007</v>
      </c>
    </row>
    <row r="21" spans="2:17" x14ac:dyDescent="0.25">
      <c r="B21" s="150">
        <v>17</v>
      </c>
      <c r="C21" s="24">
        <f>'Cálculos - Distintas Ecuaciones'!F32</f>
        <v>4785</v>
      </c>
      <c r="D21" s="150" t="s">
        <v>162</v>
      </c>
      <c r="J21" s="150">
        <v>16</v>
      </c>
      <c r="K21" s="24">
        <v>14724</v>
      </c>
      <c r="M21" s="150">
        <v>16</v>
      </c>
      <c r="N21" s="24">
        <v>9433</v>
      </c>
    </row>
    <row r="22" spans="2:17" x14ac:dyDescent="0.25">
      <c r="B22" s="150">
        <v>18</v>
      </c>
      <c r="C22" s="24">
        <f>'Cálculos - Distintas Ecuaciones'!F33</f>
        <v>4978</v>
      </c>
      <c r="D22" s="95" t="s">
        <v>162</v>
      </c>
      <c r="J22" s="150">
        <v>17</v>
      </c>
      <c r="K22" s="24">
        <v>14958.1</v>
      </c>
      <c r="M22" s="150">
        <v>17</v>
      </c>
      <c r="N22" s="24">
        <v>9555</v>
      </c>
    </row>
    <row r="23" spans="2:17" x14ac:dyDescent="0.25">
      <c r="B23" s="150">
        <v>19</v>
      </c>
      <c r="C23" s="24">
        <f>'Cálculos - Distintas Ecuaciones'!F34</f>
        <v>5230</v>
      </c>
      <c r="D23" s="150" t="s">
        <v>80</v>
      </c>
      <c r="J23" s="150">
        <v>18</v>
      </c>
      <c r="K23" s="24">
        <v>15241.7</v>
      </c>
      <c r="M23" s="150">
        <v>18</v>
      </c>
      <c r="N23" s="24">
        <v>10665</v>
      </c>
    </row>
    <row r="24" spans="2:17" x14ac:dyDescent="0.25">
      <c r="B24" s="150">
        <v>20</v>
      </c>
      <c r="C24" s="24">
        <f>'Cálculos - Distintas Ecuaciones'!F35</f>
        <v>5494</v>
      </c>
      <c r="D24" s="150" t="s">
        <v>78</v>
      </c>
      <c r="J24" s="150">
        <v>19</v>
      </c>
      <c r="K24" s="24">
        <v>19002</v>
      </c>
      <c r="M24" s="150">
        <v>19</v>
      </c>
      <c r="N24" s="24">
        <v>10985.5</v>
      </c>
    </row>
    <row r="25" spans="2:17" x14ac:dyDescent="0.25">
      <c r="B25" s="150">
        <v>21</v>
      </c>
      <c r="C25" s="24">
        <f>'Cálculos - Distintas Ecuaciones'!F36</f>
        <v>6057</v>
      </c>
      <c r="D25" s="150" t="s">
        <v>78</v>
      </c>
      <c r="J25" s="150">
        <v>20</v>
      </c>
      <c r="K25" s="24">
        <v>19771.3</v>
      </c>
      <c r="M25" s="150">
        <v>20</v>
      </c>
      <c r="N25" s="24">
        <v>11095</v>
      </c>
    </row>
    <row r="26" spans="2:17" x14ac:dyDescent="0.25">
      <c r="B26" s="150">
        <v>22</v>
      </c>
      <c r="C26" s="24">
        <f>'Cálculos - Distintas Ecuaciones'!F37</f>
        <v>6360</v>
      </c>
      <c r="D26" s="150" t="s">
        <v>80</v>
      </c>
      <c r="J26" s="150">
        <v>21</v>
      </c>
      <c r="K26" s="24">
        <v>20154.400000000001</v>
      </c>
      <c r="M26" s="150">
        <v>21</v>
      </c>
      <c r="N26" s="24">
        <v>11621.9</v>
      </c>
    </row>
    <row r="27" spans="2:17" x14ac:dyDescent="0.25">
      <c r="B27" s="150">
        <v>23</v>
      </c>
      <c r="C27" s="24">
        <f>'Cálculos - Distintas Ecuaciones'!F38</f>
        <v>6623.4</v>
      </c>
      <c r="D27" s="95" t="s">
        <v>80</v>
      </c>
      <c r="J27" s="150">
        <v>22</v>
      </c>
      <c r="K27" s="24">
        <v>20276.099999999999</v>
      </c>
      <c r="M27" s="150">
        <v>22</v>
      </c>
      <c r="N27" s="24">
        <v>11990</v>
      </c>
    </row>
    <row r="28" spans="2:17" x14ac:dyDescent="0.25">
      <c r="B28" s="150">
        <v>24</v>
      </c>
      <c r="C28" s="24">
        <f>'Cálculos - Distintas Ecuaciones'!F39</f>
        <v>6794</v>
      </c>
      <c r="D28" s="150" t="s">
        <v>80</v>
      </c>
      <c r="J28" s="150">
        <v>23</v>
      </c>
      <c r="K28" s="24">
        <v>21321.1</v>
      </c>
      <c r="M28" s="150">
        <v>23</v>
      </c>
      <c r="N28" s="24">
        <v>12214</v>
      </c>
    </row>
    <row r="29" spans="2:17" x14ac:dyDescent="0.25">
      <c r="B29" s="150">
        <v>25</v>
      </c>
      <c r="C29" s="24">
        <f>'Cálculos - Distintas Ecuaciones'!F40</f>
        <v>7225</v>
      </c>
      <c r="D29" s="150" t="s">
        <v>162</v>
      </c>
      <c r="J29" s="150">
        <v>24</v>
      </c>
      <c r="K29" s="24">
        <v>21915</v>
      </c>
      <c r="M29" s="150">
        <v>24</v>
      </c>
      <c r="N29" s="24">
        <v>12600</v>
      </c>
    </row>
    <row r="30" spans="2:17" x14ac:dyDescent="0.25">
      <c r="B30" s="150">
        <v>26</v>
      </c>
      <c r="C30" s="24">
        <f>'Cálculos - Distintas Ecuaciones'!F41</f>
        <v>7435</v>
      </c>
      <c r="D30" s="150" t="s">
        <v>78</v>
      </c>
      <c r="J30" s="150">
        <v>25</v>
      </c>
      <c r="K30" s="24">
        <v>22527.200000000001</v>
      </c>
      <c r="M30" s="150">
        <v>25</v>
      </c>
      <c r="N30" s="24">
        <v>13360</v>
      </c>
    </row>
    <row r="31" spans="2:17" x14ac:dyDescent="0.25">
      <c r="B31" s="150">
        <v>27</v>
      </c>
      <c r="C31" s="24">
        <f>'Cálculos - Distintas Ecuaciones'!F42</f>
        <v>7615</v>
      </c>
      <c r="D31" s="150" t="s">
        <v>162</v>
      </c>
      <c r="J31" s="150">
        <v>26</v>
      </c>
      <c r="K31" s="24">
        <v>22730</v>
      </c>
      <c r="M31" s="150">
        <v>26</v>
      </c>
      <c r="N31" s="24">
        <v>15625</v>
      </c>
    </row>
    <row r="32" spans="2:17" x14ac:dyDescent="0.25">
      <c r="B32" s="150">
        <v>28</v>
      </c>
      <c r="C32" s="24">
        <f>'Cálculos - Distintas Ecuaciones'!F43</f>
        <v>7918</v>
      </c>
      <c r="D32" s="150" t="s">
        <v>78</v>
      </c>
      <c r="J32" s="150">
        <v>27</v>
      </c>
      <c r="K32" s="24">
        <v>23310.400000000001</v>
      </c>
      <c r="M32" s="150">
        <v>27</v>
      </c>
      <c r="N32" s="24">
        <v>16008</v>
      </c>
    </row>
    <row r="33" spans="2:18" x14ac:dyDescent="0.25">
      <c r="B33" s="150">
        <v>29</v>
      </c>
      <c r="C33" s="24">
        <f>'Cálculos - Distintas Ecuaciones'!F44</f>
        <v>8387.5</v>
      </c>
      <c r="D33" s="150" t="s">
        <v>162</v>
      </c>
      <c r="J33" s="150">
        <v>28</v>
      </c>
      <c r="K33" s="24">
        <v>24300.5</v>
      </c>
      <c r="M33" s="150">
        <v>28</v>
      </c>
      <c r="N33" s="24">
        <v>16270</v>
      </c>
    </row>
    <row r="34" spans="2:18" x14ac:dyDescent="0.25">
      <c r="B34" s="150">
        <v>30</v>
      </c>
      <c r="C34" s="24">
        <f>'Cálculos - Distintas Ecuaciones'!F45</f>
        <v>8693</v>
      </c>
      <c r="D34" s="150" t="s">
        <v>162</v>
      </c>
      <c r="J34" s="150">
        <v>29</v>
      </c>
      <c r="K34" s="24">
        <v>27505.5</v>
      </c>
      <c r="M34" s="150">
        <v>29</v>
      </c>
      <c r="N34" s="24">
        <v>16495.599999999999</v>
      </c>
      <c r="Q34" s="151" t="s">
        <v>311</v>
      </c>
      <c r="R34" s="152">
        <f>G13+J34+M65+P18</f>
        <v>110</v>
      </c>
    </row>
    <row r="35" spans="2:18" x14ac:dyDescent="0.25">
      <c r="B35" s="150">
        <v>31</v>
      </c>
      <c r="C35" s="24">
        <f>'Cálculos - Distintas Ecuaciones'!F46</f>
        <v>8942.2000000000007</v>
      </c>
      <c r="D35" s="150" t="s">
        <v>80</v>
      </c>
      <c r="M35" s="150">
        <v>30</v>
      </c>
      <c r="N35" s="24">
        <v>16832</v>
      </c>
    </row>
    <row r="36" spans="2:18" x14ac:dyDescent="0.25">
      <c r="B36" s="150">
        <v>32</v>
      </c>
      <c r="C36" s="24">
        <f>'Cálculos - Distintas Ecuaciones'!F47</f>
        <v>9433</v>
      </c>
      <c r="D36" s="95" t="s">
        <v>80</v>
      </c>
      <c r="M36" s="150">
        <v>31</v>
      </c>
      <c r="N36" s="24">
        <v>17228</v>
      </c>
    </row>
    <row r="37" spans="2:18" x14ac:dyDescent="0.25">
      <c r="B37" s="150">
        <v>33</v>
      </c>
      <c r="C37" s="24">
        <f>'Cálculos - Distintas Ecuaciones'!F48</f>
        <v>9555</v>
      </c>
      <c r="D37" s="150" t="s">
        <v>80</v>
      </c>
      <c r="M37" s="150">
        <v>32</v>
      </c>
      <c r="N37" s="24">
        <v>17385</v>
      </c>
    </row>
    <row r="38" spans="2:18" x14ac:dyDescent="0.25">
      <c r="B38" s="150">
        <v>34</v>
      </c>
      <c r="C38" s="24">
        <f>'Cálculos - Distintas Ecuaciones'!F49</f>
        <v>9778</v>
      </c>
      <c r="D38" s="150" t="s">
        <v>78</v>
      </c>
      <c r="M38" s="150">
        <v>33</v>
      </c>
      <c r="N38" s="24">
        <v>17585</v>
      </c>
    </row>
    <row r="39" spans="2:18" x14ac:dyDescent="0.25">
      <c r="B39" s="150">
        <v>35</v>
      </c>
      <c r="C39" s="24">
        <f>'Cálculos - Distintas Ecuaciones'!F50</f>
        <v>10468.5</v>
      </c>
      <c r="D39" s="150" t="s">
        <v>162</v>
      </c>
      <c r="M39" s="150">
        <v>34</v>
      </c>
      <c r="N39" s="24">
        <v>18037.5</v>
      </c>
    </row>
    <row r="40" spans="2:18" x14ac:dyDescent="0.25">
      <c r="B40" s="150">
        <v>36</v>
      </c>
      <c r="C40" s="24">
        <f>'Cálculos - Distintas Ecuaciones'!F51</f>
        <v>10665</v>
      </c>
      <c r="D40" s="150" t="s">
        <v>80</v>
      </c>
      <c r="M40" s="150">
        <v>35</v>
      </c>
      <c r="N40" s="24">
        <v>18301.599999999999</v>
      </c>
    </row>
    <row r="41" spans="2:18" x14ac:dyDescent="0.25">
      <c r="B41" s="150">
        <v>37</v>
      </c>
      <c r="C41" s="24">
        <f>'Cálculos - Distintas Ecuaciones'!F52</f>
        <v>10985.5</v>
      </c>
      <c r="D41" s="150" t="s">
        <v>80</v>
      </c>
      <c r="M41" s="150">
        <v>36</v>
      </c>
      <c r="N41" s="24">
        <v>18773</v>
      </c>
    </row>
    <row r="42" spans="2:18" x14ac:dyDescent="0.25">
      <c r="B42" s="150">
        <v>38</v>
      </c>
      <c r="C42" s="24">
        <f>'Cálculos - Distintas Ecuaciones'!F53</f>
        <v>11095</v>
      </c>
      <c r="D42" s="150" t="s">
        <v>80</v>
      </c>
      <c r="M42" s="150">
        <v>37</v>
      </c>
      <c r="N42" s="24">
        <v>19360</v>
      </c>
    </row>
    <row r="43" spans="2:18" x14ac:dyDescent="0.25">
      <c r="B43" s="150">
        <v>39</v>
      </c>
      <c r="C43" s="24">
        <f>'Cálculos - Distintas Ecuaciones'!F54</f>
        <v>11531.2</v>
      </c>
      <c r="D43" s="150" t="s">
        <v>162</v>
      </c>
      <c r="M43" s="150">
        <v>38</v>
      </c>
      <c r="N43" s="24">
        <v>19602</v>
      </c>
    </row>
    <row r="44" spans="2:18" x14ac:dyDescent="0.25">
      <c r="B44" s="150">
        <v>40</v>
      </c>
      <c r="C44" s="24">
        <f>'Cálculos - Distintas Ecuaciones'!F55</f>
        <v>11621.9</v>
      </c>
      <c r="D44" s="150" t="s">
        <v>80</v>
      </c>
      <c r="M44" s="150">
        <v>39</v>
      </c>
      <c r="N44" s="24">
        <v>20316.7</v>
      </c>
    </row>
    <row r="45" spans="2:18" x14ac:dyDescent="0.25">
      <c r="B45" s="150">
        <v>41</v>
      </c>
      <c r="C45" s="24">
        <f>'Cálculos - Distintas Ecuaciones'!F56</f>
        <v>11700</v>
      </c>
      <c r="D45" s="150" t="s">
        <v>162</v>
      </c>
      <c r="M45" s="150">
        <v>40</v>
      </c>
      <c r="N45" s="24">
        <v>20636.400000000001</v>
      </c>
    </row>
    <row r="46" spans="2:18" x14ac:dyDescent="0.25">
      <c r="B46" s="150">
        <v>42</v>
      </c>
      <c r="C46" s="24">
        <f>'Cálculos - Distintas Ecuaciones'!F57</f>
        <v>11990</v>
      </c>
      <c r="D46" s="150" t="s">
        <v>80</v>
      </c>
      <c r="M46" s="150">
        <v>41</v>
      </c>
      <c r="N46" s="24">
        <v>21163</v>
      </c>
    </row>
    <row r="47" spans="2:18" x14ac:dyDescent="0.25">
      <c r="B47" s="150">
        <v>43</v>
      </c>
      <c r="C47" s="24">
        <f>'Cálculos - Distintas Ecuaciones'!F58</f>
        <v>12214</v>
      </c>
      <c r="D47" s="150" t="s">
        <v>80</v>
      </c>
      <c r="M47" s="150">
        <v>42</v>
      </c>
      <c r="N47" s="24">
        <v>21370</v>
      </c>
    </row>
    <row r="48" spans="2:18" x14ac:dyDescent="0.25">
      <c r="B48" s="150">
        <v>44</v>
      </c>
      <c r="C48" s="24">
        <f>'Cálculos - Distintas Ecuaciones'!F59</f>
        <v>12316.7</v>
      </c>
      <c r="D48" s="150" t="s">
        <v>79</v>
      </c>
      <c r="M48" s="150">
        <v>43</v>
      </c>
      <c r="N48" s="24">
        <v>21800</v>
      </c>
    </row>
    <row r="49" spans="2:14" x14ac:dyDescent="0.25">
      <c r="B49" s="150">
        <v>45</v>
      </c>
      <c r="C49" s="24">
        <f>'Cálculos - Distintas Ecuaciones'!F60</f>
        <v>12600</v>
      </c>
      <c r="D49" s="150" t="s">
        <v>80</v>
      </c>
      <c r="M49" s="150">
        <v>44</v>
      </c>
      <c r="N49" s="24">
        <v>22420</v>
      </c>
    </row>
    <row r="50" spans="2:14" x14ac:dyDescent="0.25">
      <c r="B50" s="150">
        <v>46</v>
      </c>
      <c r="C50" s="24">
        <f>'Cálculos - Distintas Ecuaciones'!F61</f>
        <v>12880.9</v>
      </c>
      <c r="D50" s="111" t="s">
        <v>166</v>
      </c>
      <c r="M50" s="150">
        <v>45</v>
      </c>
      <c r="N50" s="24">
        <v>23131.9</v>
      </c>
    </row>
    <row r="51" spans="2:14" x14ac:dyDescent="0.25">
      <c r="B51" s="150">
        <v>47</v>
      </c>
      <c r="C51" s="24">
        <f>'Cálculos - Distintas Ecuaciones'!F62</f>
        <v>13360</v>
      </c>
      <c r="D51" s="150" t="s">
        <v>80</v>
      </c>
      <c r="M51" s="150">
        <v>46</v>
      </c>
      <c r="N51" s="24">
        <v>23206.7</v>
      </c>
    </row>
    <row r="52" spans="2:14" x14ac:dyDescent="0.25">
      <c r="B52" s="150">
        <v>48</v>
      </c>
      <c r="C52" s="24">
        <f>'Cálculos - Distintas Ecuaciones'!F63</f>
        <v>13805.4</v>
      </c>
      <c r="D52" s="150" t="s">
        <v>162</v>
      </c>
      <c r="M52" s="150">
        <v>47</v>
      </c>
      <c r="N52" s="24">
        <v>23390</v>
      </c>
    </row>
    <row r="53" spans="2:14" x14ac:dyDescent="0.25">
      <c r="B53" s="150">
        <v>49</v>
      </c>
      <c r="C53" s="24">
        <f>'Cálculos - Distintas Ecuaciones'!F64</f>
        <v>14070</v>
      </c>
      <c r="D53" s="150" t="s">
        <v>162</v>
      </c>
      <c r="M53" s="150">
        <v>48</v>
      </c>
      <c r="N53" s="24">
        <v>23505</v>
      </c>
    </row>
    <row r="54" spans="2:14" x14ac:dyDescent="0.25">
      <c r="B54" s="150">
        <v>50</v>
      </c>
      <c r="C54" s="24">
        <f>'Cálculos - Distintas Ecuaciones'!F65</f>
        <v>14724</v>
      </c>
      <c r="D54" s="150" t="s">
        <v>162</v>
      </c>
      <c r="M54" s="150">
        <v>49</v>
      </c>
      <c r="N54" s="24">
        <v>23619</v>
      </c>
    </row>
    <row r="55" spans="2:14" x14ac:dyDescent="0.25">
      <c r="B55" s="150">
        <v>51</v>
      </c>
      <c r="C55" s="24">
        <f>'Cálculos - Distintas Ecuaciones'!F66</f>
        <v>14958.1</v>
      </c>
      <c r="D55" s="150" t="s">
        <v>162</v>
      </c>
      <c r="M55" s="150">
        <v>50</v>
      </c>
      <c r="N55" s="24">
        <v>24008.2</v>
      </c>
    </row>
    <row r="56" spans="2:14" x14ac:dyDescent="0.25">
      <c r="B56" s="150">
        <v>52</v>
      </c>
      <c r="C56" s="24">
        <f>'Cálculos - Distintas Ecuaciones'!F67</f>
        <v>15241.7</v>
      </c>
      <c r="D56" s="150" t="s">
        <v>162</v>
      </c>
      <c r="M56" s="150">
        <v>51</v>
      </c>
      <c r="N56" s="24">
        <v>24094</v>
      </c>
    </row>
    <row r="57" spans="2:14" x14ac:dyDescent="0.25">
      <c r="B57" s="150">
        <v>53</v>
      </c>
      <c r="C57" s="24">
        <f>'Cálculos - Distintas Ecuaciones'!F68</f>
        <v>15625</v>
      </c>
      <c r="D57" s="150" t="s">
        <v>80</v>
      </c>
      <c r="M57" s="150">
        <v>52</v>
      </c>
      <c r="N57" s="24">
        <v>24422</v>
      </c>
    </row>
    <row r="58" spans="2:14" x14ac:dyDescent="0.25">
      <c r="B58" s="150">
        <v>54</v>
      </c>
      <c r="C58" s="24">
        <f>'Cálculos - Distintas Ecuaciones'!F69</f>
        <v>16008</v>
      </c>
      <c r="D58" s="27" t="s">
        <v>80</v>
      </c>
      <c r="M58" s="150">
        <v>53</v>
      </c>
      <c r="N58" s="24">
        <v>24526.1</v>
      </c>
    </row>
    <row r="59" spans="2:14" x14ac:dyDescent="0.25">
      <c r="B59" s="150">
        <v>55</v>
      </c>
      <c r="C59" s="24">
        <f>'Cálculos - Distintas Ecuaciones'!F70</f>
        <v>16270</v>
      </c>
      <c r="D59" s="27" t="s">
        <v>80</v>
      </c>
      <c r="M59" s="150">
        <v>54</v>
      </c>
      <c r="N59" s="24">
        <v>24618.5</v>
      </c>
    </row>
    <row r="60" spans="2:14" x14ac:dyDescent="0.25">
      <c r="B60" s="150">
        <v>56</v>
      </c>
      <c r="C60" s="24">
        <f>'Cálculos - Distintas Ecuaciones'!F71</f>
        <v>16495.599999999999</v>
      </c>
      <c r="D60" s="27" t="s">
        <v>80</v>
      </c>
      <c r="M60" s="150">
        <v>55</v>
      </c>
      <c r="N60" s="24">
        <v>24746.400000000001</v>
      </c>
    </row>
    <row r="61" spans="2:14" x14ac:dyDescent="0.25">
      <c r="B61" s="150">
        <v>57</v>
      </c>
      <c r="C61" s="24">
        <f>'Cálculos - Distintas Ecuaciones'!F72</f>
        <v>16832</v>
      </c>
      <c r="D61" s="150" t="s">
        <v>80</v>
      </c>
      <c r="M61" s="150">
        <v>56</v>
      </c>
      <c r="N61" s="24">
        <v>24917.200000000001</v>
      </c>
    </row>
    <row r="62" spans="2:14" x14ac:dyDescent="0.25">
      <c r="B62" s="150">
        <v>58</v>
      </c>
      <c r="C62" s="24">
        <f>'Cálculos - Distintas Ecuaciones'!F73</f>
        <v>17228</v>
      </c>
      <c r="D62" s="111" t="s">
        <v>80</v>
      </c>
      <c r="M62" s="150">
        <v>57</v>
      </c>
      <c r="N62" s="24">
        <v>25071.9</v>
      </c>
    </row>
    <row r="63" spans="2:14" x14ac:dyDescent="0.25">
      <c r="B63" s="150">
        <v>59</v>
      </c>
      <c r="C63" s="24">
        <f>'Cálculos - Distintas Ecuaciones'!F74</f>
        <v>17385</v>
      </c>
      <c r="D63" s="150" t="s">
        <v>80</v>
      </c>
      <c r="M63" s="150">
        <v>58</v>
      </c>
      <c r="N63" s="24">
        <v>26642.3</v>
      </c>
    </row>
    <row r="64" spans="2:14" x14ac:dyDescent="0.25">
      <c r="B64" s="150">
        <v>60</v>
      </c>
      <c r="C64" s="24">
        <f>'Cálculos - Distintas Ecuaciones'!F75</f>
        <v>17585</v>
      </c>
      <c r="D64" s="150" t="s">
        <v>80</v>
      </c>
      <c r="M64" s="150">
        <v>59</v>
      </c>
      <c r="N64" s="24">
        <v>27640</v>
      </c>
    </row>
    <row r="65" spans="2:14" x14ac:dyDescent="0.25">
      <c r="B65" s="150">
        <v>61</v>
      </c>
      <c r="C65" s="24">
        <f>'Cálculos - Distintas Ecuaciones'!F76</f>
        <v>18037.5</v>
      </c>
      <c r="D65" s="150" t="s">
        <v>80</v>
      </c>
      <c r="M65" s="150">
        <v>60</v>
      </c>
      <c r="N65" s="24">
        <v>28026.5</v>
      </c>
    </row>
    <row r="66" spans="2:14" x14ac:dyDescent="0.25">
      <c r="B66" s="150">
        <v>62</v>
      </c>
      <c r="C66" s="24">
        <f>'Cálculos - Distintas Ecuaciones'!F77</f>
        <v>18301.599999999999</v>
      </c>
      <c r="D66" s="150" t="s">
        <v>80</v>
      </c>
    </row>
    <row r="67" spans="2:14" x14ac:dyDescent="0.25">
      <c r="B67" s="150">
        <v>63</v>
      </c>
      <c r="C67" s="24">
        <f>'Cálculos - Distintas Ecuaciones'!F78</f>
        <v>18773</v>
      </c>
      <c r="D67" s="150" t="s">
        <v>80</v>
      </c>
    </row>
    <row r="68" spans="2:14" x14ac:dyDescent="0.25">
      <c r="B68" s="150">
        <v>64</v>
      </c>
      <c r="C68" s="24">
        <f>'Cálculos - Distintas Ecuaciones'!F79</f>
        <v>19002</v>
      </c>
      <c r="D68" s="150" t="s">
        <v>162</v>
      </c>
    </row>
    <row r="69" spans="2:14" x14ac:dyDescent="0.25">
      <c r="B69" s="150">
        <v>65</v>
      </c>
      <c r="C69" s="24">
        <f>'Cálculos - Distintas Ecuaciones'!F80</f>
        <v>19360</v>
      </c>
      <c r="D69" s="95" t="s">
        <v>80</v>
      </c>
    </row>
    <row r="70" spans="2:14" x14ac:dyDescent="0.25">
      <c r="B70" s="150">
        <v>66</v>
      </c>
      <c r="C70" s="24">
        <f>'Cálculos - Distintas Ecuaciones'!F81</f>
        <v>19602</v>
      </c>
      <c r="D70" s="150" t="s">
        <v>80</v>
      </c>
    </row>
    <row r="71" spans="2:14" x14ac:dyDescent="0.25">
      <c r="B71" s="150">
        <v>67</v>
      </c>
      <c r="C71" s="24">
        <f>'Cálculos - Distintas Ecuaciones'!F82</f>
        <v>19771.3</v>
      </c>
      <c r="D71" s="150" t="s">
        <v>162</v>
      </c>
    </row>
    <row r="72" spans="2:14" x14ac:dyDescent="0.25">
      <c r="B72" s="150">
        <v>68</v>
      </c>
      <c r="C72" s="24">
        <f>'Cálculos - Distintas Ecuaciones'!F83</f>
        <v>20154.400000000001</v>
      </c>
      <c r="D72" s="150" t="s">
        <v>162</v>
      </c>
    </row>
    <row r="73" spans="2:14" x14ac:dyDescent="0.25">
      <c r="B73" s="150">
        <v>69</v>
      </c>
      <c r="C73" s="24">
        <f>'Cálculos - Distintas Ecuaciones'!F84</f>
        <v>20276.099999999999</v>
      </c>
      <c r="D73" s="150" t="s">
        <v>162</v>
      </c>
    </row>
    <row r="74" spans="2:14" x14ac:dyDescent="0.25">
      <c r="B74" s="150">
        <v>70</v>
      </c>
      <c r="C74" s="24">
        <f>'Cálculos - Distintas Ecuaciones'!F85</f>
        <v>20316.7</v>
      </c>
      <c r="D74" s="150" t="s">
        <v>80</v>
      </c>
    </row>
    <row r="75" spans="2:14" x14ac:dyDescent="0.25">
      <c r="B75" s="150">
        <v>71</v>
      </c>
      <c r="C75" s="24">
        <f>'Cálculos - Distintas Ecuaciones'!F86</f>
        <v>20636.400000000001</v>
      </c>
      <c r="D75" s="150" t="s">
        <v>80</v>
      </c>
    </row>
    <row r="76" spans="2:14" x14ac:dyDescent="0.25">
      <c r="B76" s="150">
        <v>72</v>
      </c>
      <c r="C76" s="24">
        <f>'Cálculos - Distintas Ecuaciones'!F87</f>
        <v>21163</v>
      </c>
      <c r="D76" s="111" t="s">
        <v>80</v>
      </c>
    </row>
    <row r="77" spans="2:14" x14ac:dyDescent="0.25">
      <c r="B77" s="150">
        <v>73</v>
      </c>
      <c r="C77" s="24">
        <f>'Cálculos - Distintas Ecuaciones'!F88</f>
        <v>21321.1</v>
      </c>
      <c r="D77" s="111" t="s">
        <v>162</v>
      </c>
    </row>
    <row r="78" spans="2:14" x14ac:dyDescent="0.25">
      <c r="B78" s="150">
        <v>74</v>
      </c>
      <c r="C78" s="24">
        <f>'Cálculos - Distintas Ecuaciones'!F89</f>
        <v>21370</v>
      </c>
      <c r="D78" s="111" t="s">
        <v>80</v>
      </c>
    </row>
    <row r="79" spans="2:14" x14ac:dyDescent="0.25">
      <c r="B79" s="150">
        <v>75</v>
      </c>
      <c r="C79" s="24">
        <f>'Cálculos - Distintas Ecuaciones'!F90</f>
        <v>21800</v>
      </c>
      <c r="D79" s="150" t="s">
        <v>80</v>
      </c>
    </row>
    <row r="80" spans="2:14" x14ac:dyDescent="0.25">
      <c r="B80" s="150">
        <v>76</v>
      </c>
      <c r="C80" s="24">
        <f>'Cálculos - Distintas Ecuaciones'!F91</f>
        <v>21915</v>
      </c>
      <c r="D80" s="150" t="s">
        <v>162</v>
      </c>
    </row>
    <row r="81" spans="2:4" x14ac:dyDescent="0.25">
      <c r="B81" s="150">
        <v>77</v>
      </c>
      <c r="C81" s="24">
        <f>'Cálculos - Distintas Ecuaciones'!F93</f>
        <v>22197</v>
      </c>
      <c r="D81" s="150" t="s">
        <v>79</v>
      </c>
    </row>
    <row r="82" spans="2:4" x14ac:dyDescent="0.25">
      <c r="B82" s="150">
        <v>78</v>
      </c>
      <c r="C82" s="24">
        <f>'Cálculos - Distintas Ecuaciones'!F94</f>
        <v>22325.8</v>
      </c>
      <c r="D82" s="150" t="s">
        <v>79</v>
      </c>
    </row>
    <row r="83" spans="2:4" x14ac:dyDescent="0.25">
      <c r="B83" s="150">
        <v>79</v>
      </c>
      <c r="C83" s="24">
        <f>'Cálculos - Distintas Ecuaciones'!F95</f>
        <v>22420</v>
      </c>
      <c r="D83" s="150" t="s">
        <v>80</v>
      </c>
    </row>
    <row r="84" spans="2:4" x14ac:dyDescent="0.25">
      <c r="B84" s="150">
        <v>80</v>
      </c>
      <c r="C84" s="24">
        <f>'Cálculos - Distintas Ecuaciones'!F96</f>
        <v>22527.200000000001</v>
      </c>
      <c r="D84" s="150" t="s">
        <v>162</v>
      </c>
    </row>
    <row r="85" spans="2:4" x14ac:dyDescent="0.25">
      <c r="B85" s="150">
        <v>81</v>
      </c>
      <c r="C85" s="24">
        <f>'Cálculos - Distintas Ecuaciones'!F97</f>
        <v>22649.1</v>
      </c>
      <c r="D85" s="95" t="s">
        <v>79</v>
      </c>
    </row>
    <row r="86" spans="2:4" x14ac:dyDescent="0.25">
      <c r="B86" s="150">
        <v>82</v>
      </c>
      <c r="C86" s="24">
        <f>'Cálculos - Distintas Ecuaciones'!F98</f>
        <v>22730</v>
      </c>
      <c r="D86" s="150" t="s">
        <v>162</v>
      </c>
    </row>
    <row r="87" spans="2:4" x14ac:dyDescent="0.25">
      <c r="B87" s="150">
        <v>83</v>
      </c>
      <c r="C87" s="24">
        <f>'Cálculos - Distintas Ecuaciones'!F99</f>
        <v>23131.9</v>
      </c>
      <c r="D87" s="150" t="s">
        <v>80</v>
      </c>
    </row>
    <row r="88" spans="2:4" x14ac:dyDescent="0.25">
      <c r="B88" s="150">
        <v>84</v>
      </c>
      <c r="C88" s="24">
        <f>'Cálculos - Distintas Ecuaciones'!F100</f>
        <v>23206.7</v>
      </c>
      <c r="D88" s="150" t="s">
        <v>80</v>
      </c>
    </row>
    <row r="89" spans="2:4" x14ac:dyDescent="0.25">
      <c r="B89" s="150">
        <v>85</v>
      </c>
      <c r="C89" s="24">
        <f>'Cálculos - Distintas Ecuaciones'!F101</f>
        <v>23310.400000000001</v>
      </c>
      <c r="D89" s="150" t="s">
        <v>162</v>
      </c>
    </row>
    <row r="90" spans="2:4" x14ac:dyDescent="0.25">
      <c r="B90" s="150">
        <v>86</v>
      </c>
      <c r="C90" s="24">
        <f>'Cálculos - Distintas Ecuaciones'!F102</f>
        <v>23390</v>
      </c>
      <c r="D90" s="150" t="s">
        <v>80</v>
      </c>
    </row>
    <row r="91" spans="2:4" x14ac:dyDescent="0.25">
      <c r="B91" s="150">
        <v>87</v>
      </c>
      <c r="C91" s="24">
        <f>'Cálculos - Distintas Ecuaciones'!F103</f>
        <v>23505</v>
      </c>
      <c r="D91" s="150" t="s">
        <v>80</v>
      </c>
    </row>
    <row r="92" spans="2:4" x14ac:dyDescent="0.25">
      <c r="B92" s="150">
        <v>88</v>
      </c>
      <c r="C92" s="24">
        <f>'Cálculos - Distintas Ecuaciones'!F104</f>
        <v>23619</v>
      </c>
      <c r="D92" s="150" t="s">
        <v>80</v>
      </c>
    </row>
    <row r="93" spans="2:4" x14ac:dyDescent="0.25">
      <c r="B93" s="150">
        <v>89</v>
      </c>
      <c r="C93" s="24">
        <f>'Cálculos - Distintas Ecuaciones'!F105</f>
        <v>23881.7</v>
      </c>
      <c r="D93" s="150" t="s">
        <v>79</v>
      </c>
    </row>
    <row r="94" spans="2:4" x14ac:dyDescent="0.25">
      <c r="B94" s="150">
        <v>90</v>
      </c>
      <c r="C94" s="24">
        <f>'Cálculos - Distintas Ecuaciones'!F106</f>
        <v>24008.2</v>
      </c>
      <c r="D94" s="150" t="s">
        <v>80</v>
      </c>
    </row>
    <row r="95" spans="2:4" x14ac:dyDescent="0.25">
      <c r="B95" s="150">
        <v>91</v>
      </c>
      <c r="C95" s="24">
        <f>'Cálculos - Distintas Ecuaciones'!F107</f>
        <v>24094</v>
      </c>
      <c r="D95" s="150" t="s">
        <v>80</v>
      </c>
    </row>
    <row r="96" spans="2:4" x14ac:dyDescent="0.25">
      <c r="B96" s="150">
        <v>92</v>
      </c>
      <c r="C96" s="24">
        <f>'Cálculos - Distintas Ecuaciones'!F108</f>
        <v>24300.5</v>
      </c>
      <c r="D96" s="150" t="s">
        <v>162</v>
      </c>
    </row>
    <row r="97" spans="2:4" x14ac:dyDescent="0.25">
      <c r="B97" s="150">
        <v>93</v>
      </c>
      <c r="C97" s="24">
        <f>'Cálculos - Distintas Ecuaciones'!F109</f>
        <v>24422</v>
      </c>
      <c r="D97" s="150" t="s">
        <v>80</v>
      </c>
    </row>
    <row r="98" spans="2:4" x14ac:dyDescent="0.25">
      <c r="B98" s="150">
        <v>94</v>
      </c>
      <c r="C98" s="24">
        <f>'Cálculos - Distintas Ecuaciones'!F110</f>
        <v>24526.1</v>
      </c>
      <c r="D98" s="150" t="s">
        <v>80</v>
      </c>
    </row>
    <row r="99" spans="2:4" x14ac:dyDescent="0.25">
      <c r="B99" s="150">
        <v>95</v>
      </c>
      <c r="C99" s="24">
        <f>'Cálculos - Distintas Ecuaciones'!F111</f>
        <v>24618.5</v>
      </c>
      <c r="D99" s="150" t="s">
        <v>80</v>
      </c>
    </row>
    <row r="100" spans="2:4" x14ac:dyDescent="0.25">
      <c r="B100" s="150">
        <v>96</v>
      </c>
      <c r="C100" s="24">
        <f>'Cálculos - Distintas Ecuaciones'!F112</f>
        <v>24746.400000000001</v>
      </c>
      <c r="D100" s="150" t="s">
        <v>80</v>
      </c>
    </row>
    <row r="101" spans="2:4" x14ac:dyDescent="0.25">
      <c r="B101" s="150">
        <v>97</v>
      </c>
      <c r="C101" s="24">
        <f>'Cálculos - Distintas Ecuaciones'!F113</f>
        <v>24917.200000000001</v>
      </c>
      <c r="D101" s="150" t="s">
        <v>80</v>
      </c>
    </row>
    <row r="102" spans="2:4" x14ac:dyDescent="0.25">
      <c r="B102" s="150">
        <v>98</v>
      </c>
      <c r="C102" s="24">
        <f>'Cálculos - Distintas Ecuaciones'!F114</f>
        <v>25071.9</v>
      </c>
      <c r="D102" s="150" t="s">
        <v>80</v>
      </c>
    </row>
    <row r="103" spans="2:4" x14ac:dyDescent="0.25">
      <c r="B103" s="150">
        <v>99</v>
      </c>
      <c r="C103" s="24">
        <f>'Cálculos - Distintas Ecuaciones'!F115</f>
        <v>25478</v>
      </c>
      <c r="D103" s="150" t="s">
        <v>79</v>
      </c>
    </row>
    <row r="104" spans="2:4" x14ac:dyDescent="0.25">
      <c r="B104" s="150">
        <v>100</v>
      </c>
      <c r="C104" s="24">
        <f>'Cálculos - Distintas Ecuaciones'!F116</f>
        <v>25617.8</v>
      </c>
      <c r="D104" s="150" t="s">
        <v>166</v>
      </c>
    </row>
    <row r="105" spans="2:4" x14ac:dyDescent="0.25">
      <c r="B105" s="150">
        <v>101</v>
      </c>
      <c r="C105" s="24">
        <f>'Cálculos - Distintas Ecuaciones'!F117</f>
        <v>25998.2</v>
      </c>
      <c r="D105" s="150" t="s">
        <v>79</v>
      </c>
    </row>
    <row r="106" spans="2:4" x14ac:dyDescent="0.25">
      <c r="B106" s="150">
        <v>102</v>
      </c>
      <c r="C106" s="24">
        <f>'Cálculos - Distintas Ecuaciones'!F118</f>
        <v>26355</v>
      </c>
      <c r="D106" s="150" t="s">
        <v>79</v>
      </c>
    </row>
    <row r="107" spans="2:4" x14ac:dyDescent="0.25">
      <c r="B107" s="150">
        <v>103</v>
      </c>
      <c r="C107" s="24">
        <f>'Cálculos - Distintas Ecuaciones'!F119</f>
        <v>26642.3</v>
      </c>
      <c r="D107" s="150" t="s">
        <v>80</v>
      </c>
    </row>
    <row r="108" spans="2:4" x14ac:dyDescent="0.25">
      <c r="B108" s="150">
        <v>104</v>
      </c>
      <c r="C108" s="24">
        <f>'Cálculos - Distintas Ecuaciones'!F120</f>
        <v>27014</v>
      </c>
      <c r="D108" s="150" t="s">
        <v>79</v>
      </c>
    </row>
    <row r="109" spans="2:4" x14ac:dyDescent="0.25">
      <c r="B109" s="150">
        <v>105</v>
      </c>
      <c r="C109" s="24">
        <f>'Cálculos - Distintas Ecuaciones'!F121</f>
        <v>27141.200000000001</v>
      </c>
      <c r="D109" s="150" t="s">
        <v>79</v>
      </c>
    </row>
    <row r="110" spans="2:4" x14ac:dyDescent="0.25">
      <c r="B110" s="150">
        <v>106</v>
      </c>
      <c r="C110" s="24">
        <f>'Cálculos - Distintas Ecuaciones'!F122</f>
        <v>27448.7</v>
      </c>
      <c r="D110" s="150" t="s">
        <v>79</v>
      </c>
    </row>
    <row r="111" spans="2:4" x14ac:dyDescent="0.25">
      <c r="B111" s="150">
        <v>107</v>
      </c>
      <c r="C111" s="24">
        <f>'Cálculos - Distintas Ecuaciones'!F123</f>
        <v>27505.5</v>
      </c>
      <c r="D111" s="150" t="s">
        <v>162</v>
      </c>
    </row>
    <row r="112" spans="2:4" x14ac:dyDescent="0.25">
      <c r="B112" s="150">
        <v>108</v>
      </c>
      <c r="C112" s="24">
        <f>'Cálculos - Distintas Ecuaciones'!F124</f>
        <v>27640</v>
      </c>
      <c r="D112" s="150" t="s">
        <v>80</v>
      </c>
    </row>
    <row r="113" spans="2:4" x14ac:dyDescent="0.25">
      <c r="B113" s="150">
        <v>109</v>
      </c>
      <c r="C113" s="24">
        <f>'Cálculos - Distintas Ecuaciones'!F125</f>
        <v>27878</v>
      </c>
      <c r="D113" s="150" t="s">
        <v>78</v>
      </c>
    </row>
    <row r="114" spans="2:4" x14ac:dyDescent="0.25">
      <c r="B114" s="150">
        <v>110</v>
      </c>
      <c r="C114" s="24">
        <f>'Cálculos - Distintas Ecuaciones'!F126</f>
        <v>28026.5</v>
      </c>
      <c r="D114" s="150" t="s">
        <v>80</v>
      </c>
    </row>
  </sheetData>
  <mergeCells count="11">
    <mergeCell ref="J4:J5"/>
    <mergeCell ref="D3:D4"/>
    <mergeCell ref="B3:B4"/>
    <mergeCell ref="C3:C4"/>
    <mergeCell ref="G4:G5"/>
    <mergeCell ref="H4:H5"/>
    <mergeCell ref="K4:K5"/>
    <mergeCell ref="M4:M5"/>
    <mergeCell ref="N4:N5"/>
    <mergeCell ref="P4:P5"/>
    <mergeCell ref="Q4:Q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6"/>
  <sheetViews>
    <sheetView topLeftCell="A4" zoomScale="90" zoomScaleNormal="90" workbookViewId="0">
      <selection activeCell="Q53" sqref="Q53"/>
    </sheetView>
  </sheetViews>
  <sheetFormatPr baseColWidth="10" defaultRowHeight="15" x14ac:dyDescent="0.25"/>
  <sheetData>
    <row r="2" spans="2:16" x14ac:dyDescent="0.25">
      <c r="B2" s="60" t="s">
        <v>297</v>
      </c>
    </row>
    <row r="4" spans="2:16" x14ac:dyDescent="0.25">
      <c r="B4" s="132" t="s">
        <v>28</v>
      </c>
      <c r="C4" s="132" t="s">
        <v>27</v>
      </c>
      <c r="D4" s="214" t="s">
        <v>8</v>
      </c>
      <c r="E4" s="214"/>
      <c r="F4" s="214" t="s">
        <v>9</v>
      </c>
      <c r="G4" s="214"/>
      <c r="H4" s="214"/>
    </row>
    <row r="5" spans="2:16" x14ac:dyDescent="0.25">
      <c r="B5" s="215" t="s">
        <v>29</v>
      </c>
      <c r="C5" s="212" t="s">
        <v>17</v>
      </c>
      <c r="D5" s="213" t="s">
        <v>30</v>
      </c>
      <c r="E5" s="213"/>
      <c r="F5" s="213" t="s">
        <v>32</v>
      </c>
      <c r="G5" s="213"/>
      <c r="H5" s="213"/>
    </row>
    <row r="6" spans="2:16" x14ac:dyDescent="0.25">
      <c r="B6" s="216"/>
      <c r="C6" s="212"/>
      <c r="D6" s="213" t="s">
        <v>31</v>
      </c>
      <c r="E6" s="213"/>
      <c r="F6" s="213" t="s">
        <v>33</v>
      </c>
      <c r="G6" s="213"/>
      <c r="H6" s="213"/>
    </row>
    <row r="9" spans="2:16" x14ac:dyDescent="0.25">
      <c r="C9" s="132" t="s">
        <v>235</v>
      </c>
      <c r="D9" s="131">
        <v>5</v>
      </c>
      <c r="E9" s="131">
        <v>10</v>
      </c>
      <c r="F9" s="131">
        <v>25</v>
      </c>
      <c r="G9" s="131">
        <v>50</v>
      </c>
      <c r="H9" s="131">
        <v>100</v>
      </c>
    </row>
    <row r="10" spans="2:16" x14ac:dyDescent="0.25">
      <c r="C10" s="132" t="s">
        <v>233</v>
      </c>
      <c r="D10" s="145">
        <v>1.6</v>
      </c>
      <c r="E10" s="145">
        <v>1.8</v>
      </c>
      <c r="F10" s="145">
        <v>2.1</v>
      </c>
      <c r="G10" s="145">
        <v>2.2999999999999998</v>
      </c>
      <c r="H10" s="145">
        <v>2.5</v>
      </c>
      <c r="K10" s="141"/>
      <c r="L10" s="141"/>
      <c r="M10" s="141"/>
      <c r="N10" s="141"/>
      <c r="O10" s="141"/>
    </row>
    <row r="13" spans="2:16" x14ac:dyDescent="0.25">
      <c r="D13" s="68">
        <f>D$14/60</f>
        <v>8.3333333333333329E-2</v>
      </c>
      <c r="E13" s="68">
        <f t="shared" ref="E13:O13" si="0">E$14/60</f>
        <v>0.16666666666666666</v>
      </c>
      <c r="F13" s="68">
        <f t="shared" si="0"/>
        <v>0.25</v>
      </c>
      <c r="G13" s="68">
        <f t="shared" si="0"/>
        <v>0.33333333333333331</v>
      </c>
      <c r="H13" s="68">
        <f t="shared" si="0"/>
        <v>0.5</v>
      </c>
      <c r="I13" s="68">
        <f t="shared" si="0"/>
        <v>0.75</v>
      </c>
      <c r="J13" s="68">
        <f t="shared" si="0"/>
        <v>1</v>
      </c>
      <c r="K13" s="68">
        <f t="shared" si="0"/>
        <v>2</v>
      </c>
      <c r="L13" s="68">
        <f t="shared" si="0"/>
        <v>4</v>
      </c>
      <c r="M13" s="68">
        <f t="shared" si="0"/>
        <v>6</v>
      </c>
      <c r="N13" s="68">
        <f t="shared" si="0"/>
        <v>12</v>
      </c>
      <c r="O13" s="68">
        <f t="shared" si="0"/>
        <v>24</v>
      </c>
      <c r="P13" t="s">
        <v>243</v>
      </c>
    </row>
    <row r="14" spans="2:16" x14ac:dyDescent="0.25">
      <c r="C14" s="137" t="s">
        <v>234</v>
      </c>
      <c r="D14" s="132">
        <v>5</v>
      </c>
      <c r="E14" s="139">
        <v>10</v>
      </c>
      <c r="F14" s="139">
        <v>15</v>
      </c>
      <c r="G14" s="132">
        <v>20</v>
      </c>
      <c r="H14" s="132">
        <v>30</v>
      </c>
      <c r="I14" s="132">
        <v>45</v>
      </c>
      <c r="J14" s="132">
        <v>60</v>
      </c>
      <c r="K14" s="132">
        <v>120</v>
      </c>
      <c r="L14" s="132">
        <v>240</v>
      </c>
      <c r="M14" s="132">
        <v>360</v>
      </c>
      <c r="N14" s="132">
        <v>720</v>
      </c>
      <c r="O14" s="132">
        <v>1440</v>
      </c>
      <c r="P14" t="s">
        <v>242</v>
      </c>
    </row>
    <row r="15" spans="2:16" x14ac:dyDescent="0.25">
      <c r="C15" s="137">
        <v>5</v>
      </c>
      <c r="D15" s="140">
        <f>121.82*($D$14^-0.4903)*D10</f>
        <v>88.538790453019359</v>
      </c>
      <c r="E15" s="140">
        <f>121.82*($E$14^-0.4903)*D10</f>
        <v>63.028733111879973</v>
      </c>
      <c r="F15" s="140">
        <f>121.82*($F$14^-0.4903)*D10</f>
        <v>51.665547206924884</v>
      </c>
      <c r="G15" s="140">
        <f>121.82*($G$14^-0.4903)*D10</f>
        <v>44.868708702278418</v>
      </c>
      <c r="H15" s="140">
        <f>121.82*($H$14^-0.4903)*D10</f>
        <v>36.779517421942067</v>
      </c>
      <c r="I15" s="140">
        <f>473.1*($I$14^-0.8529)*D$10</f>
        <v>29.447469301201323</v>
      </c>
      <c r="J15" s="140">
        <f>473.1*($J$14^-0.8529)*D$10</f>
        <v>23.040278761169912</v>
      </c>
      <c r="K15" s="140">
        <f>473.1*($K$14^-0.8529)*D$10</f>
        <v>12.756726542703744</v>
      </c>
      <c r="L15" s="140">
        <f>473.1*($L$14^-0.8529)*D$10</f>
        <v>7.0630253119845108</v>
      </c>
      <c r="M15" s="140">
        <f>473.1*($M$14^-0.8529)*D$10</f>
        <v>4.9980722268509803</v>
      </c>
      <c r="N15" s="140">
        <f>473.1*($N$14^-0.8529)*D$10</f>
        <v>2.7672859907439271</v>
      </c>
      <c r="O15" s="140">
        <f>473.1*($O$14^-0.8529)*D$10</f>
        <v>1.5321650842553767</v>
      </c>
    </row>
    <row r="16" spans="2:16" x14ac:dyDescent="0.25">
      <c r="C16" s="138">
        <v>10</v>
      </c>
      <c r="D16" s="140">
        <f>121.82*($D$14^-0.4903)*E10</f>
        <v>99.606139259646767</v>
      </c>
      <c r="E16" s="140">
        <f>121.82*($E$14^-0.4903)*E10</f>
        <v>70.907324750864959</v>
      </c>
      <c r="F16" s="140">
        <f>121.82*($F$14^-0.4903)*E10</f>
        <v>58.123740607790495</v>
      </c>
      <c r="G16" s="140">
        <f>121.82*($G$14^-0.4903)*E10</f>
        <v>50.47729729006322</v>
      </c>
      <c r="H16" s="140">
        <f>121.82*($H$14^-0.4903)*E10</f>
        <v>41.37695709968483</v>
      </c>
      <c r="I16" s="140">
        <f>473.1*($I$14^-0.8529)*E$10</f>
        <v>33.128402963851492</v>
      </c>
      <c r="J16" s="140">
        <f>473.1*($J$14^-0.8529)*E$10</f>
        <v>25.920313606316149</v>
      </c>
      <c r="K16" s="140">
        <f>473.1*($K$14^-0.8529)*E$10</f>
        <v>14.35131736054171</v>
      </c>
      <c r="L16" s="140">
        <f>473.1*($L$14^-0.8529)*E$10</f>
        <v>7.9459034759825746</v>
      </c>
      <c r="M16" s="140">
        <f>473.1*($M$14^-0.8529)*E$10</f>
        <v>5.6228312552073527</v>
      </c>
      <c r="N16" s="140">
        <f>473.1*($N$14^-0.8529)*E$10</f>
        <v>3.1131967395869182</v>
      </c>
      <c r="O16" s="140">
        <f>473.1*($O$14^-0.8529)*E$10</f>
        <v>1.7236857197872986</v>
      </c>
    </row>
    <row r="17" spans="3:21" x14ac:dyDescent="0.25">
      <c r="C17" s="137">
        <v>25</v>
      </c>
      <c r="D17" s="140">
        <f>121.82*($D$14^-0.4903)*F10</f>
        <v>116.2071624695879</v>
      </c>
      <c r="E17" s="140">
        <f>121.82*($E$14^-0.4903)*F10</f>
        <v>82.725212209342459</v>
      </c>
      <c r="F17" s="140">
        <f>121.82*($F$14^-0.4903)*F10</f>
        <v>67.811030709088911</v>
      </c>
      <c r="G17" s="140">
        <f>121.82*($G$14^-0.4903)*F10</f>
        <v>58.890180171740425</v>
      </c>
      <c r="H17" s="140">
        <f>121.82*($H$14^-0.4903)*F10</f>
        <v>48.273116616298964</v>
      </c>
      <c r="I17" s="140">
        <f>473.1*($I$14^-0.8529)*F$10</f>
        <v>38.649803457826735</v>
      </c>
      <c r="J17" s="140">
        <f>473.1*($J$14^-0.8529)*F$10</f>
        <v>30.240365874035508</v>
      </c>
      <c r="K17" s="140">
        <f>473.1*($K$14^-0.8529)*F$10</f>
        <v>16.743203587298662</v>
      </c>
      <c r="L17" s="140">
        <f>473.1*($L$14^-0.8529)*F$10</f>
        <v>9.2702207219796708</v>
      </c>
      <c r="M17" s="140">
        <f>473.1*($M$14^-0.8529)*F$10</f>
        <v>6.5599697977419114</v>
      </c>
      <c r="N17" s="140">
        <f>473.1*($N$14^-0.8529)*F$10</f>
        <v>3.6320628628514045</v>
      </c>
      <c r="O17" s="140">
        <f>473.1*($O$14^-0.8529)*F$10</f>
        <v>2.0109666730851816</v>
      </c>
    </row>
    <row r="18" spans="3:21" x14ac:dyDescent="0.25">
      <c r="C18" s="137">
        <v>50</v>
      </c>
      <c r="D18" s="140">
        <f>121.82*($D$14^-0.4903)*G10</f>
        <v>127.27451127621531</v>
      </c>
      <c r="E18" s="140">
        <f>121.82*($E$14^-0.4903)*G10</f>
        <v>90.603803848327445</v>
      </c>
      <c r="F18" s="140">
        <f>121.82*($F$14^-0.4903)*G10</f>
        <v>74.269224109954521</v>
      </c>
      <c r="G18" s="140">
        <f>121.82*($G$14^-0.4903)*G10</f>
        <v>64.49876875952522</v>
      </c>
      <c r="H18" s="140">
        <f>121.82*($H$14^-0.4903)*G10</f>
        <v>52.87055629404172</v>
      </c>
      <c r="I18" s="140">
        <f>473.1*($I$14^-0.8529)*G$10</f>
        <v>42.330737120476897</v>
      </c>
      <c r="J18" s="140">
        <f>473.1*($J$14^-0.8529)*G$10</f>
        <v>33.120400719181745</v>
      </c>
      <c r="K18" s="140">
        <f>473.1*($K$14^-0.8529)*G$10</f>
        <v>18.337794405136627</v>
      </c>
      <c r="L18" s="140">
        <f>473.1*($L$14^-0.8529)*G$10</f>
        <v>10.153098885977734</v>
      </c>
      <c r="M18" s="140">
        <f>473.1*($M$14^-0.8529)*G$10</f>
        <v>7.1847288260982838</v>
      </c>
      <c r="N18" s="140">
        <f>473.1*($N$14^-0.8529)*G$10</f>
        <v>3.9779736116943951</v>
      </c>
      <c r="O18" s="140">
        <f>473.1*($O$14^-0.8529)*G$10</f>
        <v>2.2024873086171035</v>
      </c>
    </row>
    <row r="19" spans="3:21" x14ac:dyDescent="0.25">
      <c r="C19" s="137">
        <v>100</v>
      </c>
      <c r="D19" s="140">
        <f>121.82*($D$14^-0.4903)*H10</f>
        <v>138.34186008284274</v>
      </c>
      <c r="E19" s="140">
        <f>121.82*($E$14^-0.4903)*H10</f>
        <v>98.482395487312445</v>
      </c>
      <c r="F19" s="140">
        <f>121.82*($F$14^-0.4903)*H10</f>
        <v>80.727417510820132</v>
      </c>
      <c r="G19" s="140">
        <f>121.82*($G$14^-0.4903)*H10</f>
        <v>70.107357347310028</v>
      </c>
      <c r="H19" s="140">
        <f>121.82*($H$14^-0.4903)*H10</f>
        <v>57.467995971784482</v>
      </c>
      <c r="I19" s="140">
        <f>473.1*($I$14^-0.8529)*H$10</f>
        <v>46.011670783127066</v>
      </c>
      <c r="J19" s="140">
        <f>473.1*($J$14^-0.8529)*H$10</f>
        <v>36.000435564327987</v>
      </c>
      <c r="K19" s="140">
        <f>473.1*($K$14^-0.8529)*H$10</f>
        <v>19.932385222974599</v>
      </c>
      <c r="L19" s="140">
        <f>473.1*($L$14^-0.8529)*H$10</f>
        <v>11.035977049975799</v>
      </c>
      <c r="M19" s="140">
        <f>473.1*($M$14^-0.8529)*H$10</f>
        <v>7.8094878544546562</v>
      </c>
      <c r="N19" s="140">
        <f>473.1*($N$14^-0.8529)*H$10</f>
        <v>4.3238843605373862</v>
      </c>
      <c r="O19" s="140">
        <f>473.1*($O$14^-0.8529)*H$10</f>
        <v>2.3940079441490258</v>
      </c>
    </row>
    <row r="23" spans="3:21" x14ac:dyDescent="0.25">
      <c r="N23" s="19" t="s">
        <v>298</v>
      </c>
    </row>
    <row r="25" spans="3:21" x14ac:dyDescent="0.25">
      <c r="N25" s="132" t="s">
        <v>236</v>
      </c>
      <c r="O25" s="132" t="s">
        <v>237</v>
      </c>
      <c r="P25" s="132" t="s">
        <v>238</v>
      </c>
      <c r="Q25" s="132" t="s">
        <v>239</v>
      </c>
      <c r="R25" s="133" t="s">
        <v>240</v>
      </c>
      <c r="S25" s="133" t="s">
        <v>241</v>
      </c>
    </row>
    <row r="26" spans="3:21" x14ac:dyDescent="0.25">
      <c r="N26" s="131">
        <v>1</v>
      </c>
      <c r="O26" s="145">
        <v>60</v>
      </c>
      <c r="P26" s="1">
        <f>O26/60</f>
        <v>1</v>
      </c>
      <c r="Q26" s="5">
        <f>605.59*((O26)^-0.736)</f>
        <v>29.748109734650026</v>
      </c>
      <c r="R26" s="5">
        <f>Q26*P26</f>
        <v>29.748109734650026</v>
      </c>
      <c r="S26" s="5">
        <f>R26</f>
        <v>29.748109734650026</v>
      </c>
      <c r="U26" s="141">
        <f>S32</f>
        <v>1.982931085085724</v>
      </c>
    </row>
    <row r="27" spans="3:21" x14ac:dyDescent="0.25">
      <c r="N27" s="131">
        <v>2</v>
      </c>
      <c r="O27" s="145">
        <v>120</v>
      </c>
      <c r="P27" s="1">
        <f t="shared" ref="P27:P33" si="1">O27/60</f>
        <v>2</v>
      </c>
      <c r="Q27" s="5">
        <f t="shared" ref="Q27:Q33" si="2">605.59*((O27)^-0.736)</f>
        <v>17.860816065286922</v>
      </c>
      <c r="R27" s="5">
        <f t="shared" ref="R27:R33" si="3">Q27*P27</f>
        <v>35.721632130573845</v>
      </c>
      <c r="S27" s="5">
        <f>R27-R26</f>
        <v>5.9735223959238191</v>
      </c>
      <c r="T27" s="141"/>
      <c r="U27" s="141">
        <f>S30</f>
        <v>2.6028335641986757</v>
      </c>
    </row>
    <row r="28" spans="3:21" x14ac:dyDescent="0.25">
      <c r="N28" s="131">
        <v>3</v>
      </c>
      <c r="O28" s="145">
        <v>180</v>
      </c>
      <c r="P28" s="1">
        <f t="shared" si="1"/>
        <v>3</v>
      </c>
      <c r="Q28" s="5">
        <f t="shared" si="2"/>
        <v>13.252509718092943</v>
      </c>
      <c r="R28" s="5">
        <f t="shared" si="3"/>
        <v>39.757529154278828</v>
      </c>
      <c r="S28" s="5">
        <f t="shared" ref="S28:S33" si="4">R28-R27</f>
        <v>4.0358970237049832</v>
      </c>
      <c r="T28" s="141"/>
      <c r="U28" s="141">
        <f>S28</f>
        <v>4.0358970237049832</v>
      </c>
    </row>
    <row r="29" spans="3:21" x14ac:dyDescent="0.25">
      <c r="N29" s="131">
        <v>4</v>
      </c>
      <c r="O29" s="145">
        <v>240</v>
      </c>
      <c r="P29" s="1">
        <f t="shared" si="1"/>
        <v>4</v>
      </c>
      <c r="Q29" s="5">
        <f t="shared" si="2"/>
        <v>10.723664574439708</v>
      </c>
      <c r="R29" s="5">
        <f t="shared" si="3"/>
        <v>42.894658297758831</v>
      </c>
      <c r="S29" s="5">
        <f t="shared" si="4"/>
        <v>3.1371291434800028</v>
      </c>
      <c r="T29" s="141"/>
      <c r="U29" s="141">
        <f>S26</f>
        <v>29.748109734650026</v>
      </c>
    </row>
    <row r="30" spans="3:21" x14ac:dyDescent="0.25">
      <c r="N30" s="131">
        <v>5</v>
      </c>
      <c r="O30" s="145">
        <v>300</v>
      </c>
      <c r="P30" s="1">
        <f t="shared" si="1"/>
        <v>5</v>
      </c>
      <c r="Q30" s="5">
        <f t="shared" si="2"/>
        <v>9.0994983723915013</v>
      </c>
      <c r="R30" s="5">
        <f t="shared" si="3"/>
        <v>45.497491861957506</v>
      </c>
      <c r="S30" s="5">
        <f t="shared" si="4"/>
        <v>2.6028335641986757</v>
      </c>
      <c r="T30" s="141"/>
      <c r="U30" s="141">
        <f>S27</f>
        <v>5.9735223959238191</v>
      </c>
    </row>
    <row r="31" spans="3:21" x14ac:dyDescent="0.25">
      <c r="N31" s="145">
        <v>6</v>
      </c>
      <c r="O31" s="145">
        <v>360</v>
      </c>
      <c r="P31" s="1">
        <f t="shared" si="1"/>
        <v>6</v>
      </c>
      <c r="Q31" s="5">
        <f t="shared" si="2"/>
        <v>7.9568295461335179</v>
      </c>
      <c r="R31" s="5">
        <f t="shared" si="3"/>
        <v>47.740977276801104</v>
      </c>
      <c r="S31" s="5">
        <f t="shared" si="4"/>
        <v>2.2434854148435974</v>
      </c>
      <c r="U31" s="141">
        <f>S29</f>
        <v>3.1371291434800028</v>
      </c>
    </row>
    <row r="32" spans="3:21" x14ac:dyDescent="0.25">
      <c r="N32" s="145">
        <v>7</v>
      </c>
      <c r="O32" s="145">
        <v>420</v>
      </c>
      <c r="P32" s="1">
        <f t="shared" si="1"/>
        <v>7</v>
      </c>
      <c r="Q32" s="5">
        <f t="shared" si="2"/>
        <v>7.1034154802695468</v>
      </c>
      <c r="R32" s="5">
        <f t="shared" si="3"/>
        <v>49.723908361886828</v>
      </c>
      <c r="S32" s="5">
        <f t="shared" si="4"/>
        <v>1.982931085085724</v>
      </c>
      <c r="U32" s="141">
        <f>S31</f>
        <v>2.2434854148435974</v>
      </c>
    </row>
    <row r="33" spans="14:21" x14ac:dyDescent="0.25">
      <c r="N33" s="145">
        <v>8</v>
      </c>
      <c r="O33" s="145">
        <v>480</v>
      </c>
      <c r="P33" s="1">
        <f t="shared" si="1"/>
        <v>8</v>
      </c>
      <c r="Q33" s="5">
        <f t="shared" si="2"/>
        <v>6.4385065880944561</v>
      </c>
      <c r="R33" s="5">
        <f t="shared" si="3"/>
        <v>51.508052704755649</v>
      </c>
      <c r="S33" s="5">
        <f t="shared" si="4"/>
        <v>1.7841443428688208</v>
      </c>
      <c r="U33" s="141">
        <f>S33</f>
        <v>1.7841443428688208</v>
      </c>
    </row>
    <row r="34" spans="14:21" x14ac:dyDescent="0.25">
      <c r="Q34" s="141"/>
    </row>
    <row r="35" spans="14:21" x14ac:dyDescent="0.25">
      <c r="Q35" s="141"/>
    </row>
    <row r="36" spans="14:21" x14ac:dyDescent="0.25">
      <c r="Q36" s="141"/>
    </row>
  </sheetData>
  <mergeCells count="8">
    <mergeCell ref="D4:E4"/>
    <mergeCell ref="F4:H4"/>
    <mergeCell ref="B5:B6"/>
    <mergeCell ref="C5:C6"/>
    <mergeCell ref="D5:E5"/>
    <mergeCell ref="F5:H5"/>
    <mergeCell ref="D6:E6"/>
    <mergeCell ref="F6:H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workbookViewId="0">
      <selection activeCell="I6" sqref="I6"/>
    </sheetView>
  </sheetViews>
  <sheetFormatPr baseColWidth="10" defaultRowHeight="15" x14ac:dyDescent="0.25"/>
  <cols>
    <col min="2" max="2" width="18.5703125" bestFit="1" customWidth="1"/>
    <col min="5" max="5" width="18.5703125" bestFit="1" customWidth="1"/>
    <col min="7" max="7" width="14.85546875" customWidth="1"/>
  </cols>
  <sheetData>
    <row r="2" spans="2:8" x14ac:dyDescent="0.25">
      <c r="B2" s="135" t="s">
        <v>247</v>
      </c>
      <c r="C2" s="135">
        <f>'Cálculos - Distintas Ecuaciones'!J92/1000</f>
        <v>13.618</v>
      </c>
      <c r="D2" s="135" t="s">
        <v>248</v>
      </c>
      <c r="G2" s="61" t="s">
        <v>266</v>
      </c>
    </row>
    <row r="3" spans="2:8" x14ac:dyDescent="0.25">
      <c r="B3" s="135" t="s">
        <v>299</v>
      </c>
      <c r="C3" s="135">
        <f>'Cálculos - Distintas Ecuaciones'!M92</f>
        <v>2939</v>
      </c>
      <c r="D3" s="135" t="s">
        <v>150</v>
      </c>
    </row>
    <row r="4" spans="2:8" x14ac:dyDescent="0.25">
      <c r="B4" s="135" t="s">
        <v>249</v>
      </c>
      <c r="C4" s="135">
        <v>40</v>
      </c>
      <c r="D4" s="135" t="s">
        <v>61</v>
      </c>
    </row>
    <row r="5" spans="2:8" x14ac:dyDescent="0.25">
      <c r="B5" s="135" t="s">
        <v>250</v>
      </c>
      <c r="C5" s="5">
        <f>'Cálculos - Distintas Ecuaciones'!G92</f>
        <v>45.872399999999999</v>
      </c>
      <c r="D5" s="135" t="s">
        <v>251</v>
      </c>
    </row>
    <row r="6" spans="2:8" x14ac:dyDescent="0.25">
      <c r="B6" s="214" t="s">
        <v>252</v>
      </c>
      <c r="C6" s="214"/>
      <c r="D6" s="214"/>
      <c r="F6" s="135" t="s">
        <v>253</v>
      </c>
      <c r="G6" s="135" t="s">
        <v>254</v>
      </c>
    </row>
    <row r="7" spans="2:8" x14ac:dyDescent="0.25">
      <c r="B7" s="135" t="s">
        <v>257</v>
      </c>
      <c r="C7" s="135">
        <v>0.626</v>
      </c>
      <c r="D7" s="135" t="s">
        <v>251</v>
      </c>
      <c r="E7" s="135" t="s">
        <v>257</v>
      </c>
      <c r="F7" s="135">
        <v>66</v>
      </c>
      <c r="G7" s="50">
        <f>C7*F7</f>
        <v>41.316000000000003</v>
      </c>
    </row>
    <row r="8" spans="2:8" x14ac:dyDescent="0.25">
      <c r="B8" s="135" t="s">
        <v>258</v>
      </c>
      <c r="C8" s="5">
        <v>19.7</v>
      </c>
      <c r="D8" s="135" t="s">
        <v>251</v>
      </c>
      <c r="E8" s="135" t="s">
        <v>258</v>
      </c>
      <c r="F8" s="135">
        <v>60</v>
      </c>
      <c r="G8" s="50">
        <f t="shared" ref="G8:G10" si="0">C8*F8</f>
        <v>1182</v>
      </c>
      <c r="H8" s="116"/>
    </row>
    <row r="9" spans="2:8" x14ac:dyDescent="0.25">
      <c r="B9" s="135" t="s">
        <v>259</v>
      </c>
      <c r="C9" s="5">
        <v>17.47</v>
      </c>
      <c r="D9" s="135" t="s">
        <v>251</v>
      </c>
      <c r="E9" s="135" t="s">
        <v>259</v>
      </c>
      <c r="F9" s="135">
        <v>79</v>
      </c>
      <c r="G9" s="50">
        <f t="shared" si="0"/>
        <v>1380.1299999999999</v>
      </c>
      <c r="H9" s="116"/>
    </row>
    <row r="10" spans="2:8" x14ac:dyDescent="0.25">
      <c r="B10" s="135" t="s">
        <v>260</v>
      </c>
      <c r="C10" s="135">
        <v>8.0760000000000005</v>
      </c>
      <c r="D10" s="135" t="s">
        <v>251</v>
      </c>
      <c r="E10" s="135" t="s">
        <v>260</v>
      </c>
      <c r="F10" s="135">
        <v>58</v>
      </c>
      <c r="G10" s="50">
        <f t="shared" si="0"/>
        <v>468.40800000000002</v>
      </c>
    </row>
    <row r="11" spans="2:8" x14ac:dyDescent="0.25">
      <c r="F11" s="6" t="s">
        <v>255</v>
      </c>
      <c r="G11" s="50">
        <f>SUM(G7:G10)</f>
        <v>3071.8539999999998</v>
      </c>
    </row>
    <row r="12" spans="2:8" x14ac:dyDescent="0.25">
      <c r="F12" s="134" t="s">
        <v>55</v>
      </c>
      <c r="G12" s="139">
        <f>G11/C5</f>
        <v>66.965190397711908</v>
      </c>
    </row>
    <row r="13" spans="2:8" x14ac:dyDescent="0.25">
      <c r="B13" s="136"/>
    </row>
    <row r="15" spans="2:8" x14ac:dyDescent="0.25">
      <c r="B15" s="2" t="s">
        <v>261</v>
      </c>
    </row>
    <row r="16" spans="2:8" x14ac:dyDescent="0.25">
      <c r="C16" s="136" t="s">
        <v>256</v>
      </c>
      <c r="D16" s="143">
        <f>0.0195*(((C2*1000)^3)/C3)^0.385</f>
        <v>53.663459496501602</v>
      </c>
      <c r="E16" s="136" t="s">
        <v>245</v>
      </c>
    </row>
    <row r="17" spans="2:5" x14ac:dyDescent="0.25">
      <c r="C17" s="136" t="s">
        <v>246</v>
      </c>
      <c r="D17" s="143">
        <f>254*((100/G12)-1)</f>
        <v>125.30154232590486</v>
      </c>
      <c r="E17" s="136" t="s">
        <v>265</v>
      </c>
    </row>
    <row r="18" spans="2:5" x14ac:dyDescent="0.25">
      <c r="C18" s="136" t="s">
        <v>244</v>
      </c>
      <c r="D18" s="143">
        <f>0.2*D17</f>
        <v>25.060308465180974</v>
      </c>
      <c r="E18" s="136" t="s">
        <v>265</v>
      </c>
    </row>
    <row r="20" spans="2:5" x14ac:dyDescent="0.25">
      <c r="B20" s="2" t="s">
        <v>262</v>
      </c>
      <c r="C20" s="110"/>
      <c r="D20" s="144"/>
      <c r="E20" s="110"/>
    </row>
    <row r="21" spans="2:5" x14ac:dyDescent="0.25">
      <c r="C21" s="136" t="s">
        <v>263</v>
      </c>
      <c r="D21" s="143">
        <f>2.587*((C2*1000)^0.8)*(((1000/G12)-9)^0.7)/(1900*(C4^0.5))</f>
        <v>1.5191556817664678</v>
      </c>
      <c r="E21" s="136" t="s">
        <v>264</v>
      </c>
    </row>
    <row r="22" spans="2:5" x14ac:dyDescent="0.25">
      <c r="C22" s="142" t="s">
        <v>263</v>
      </c>
      <c r="D22" s="143">
        <f>D21*60</f>
        <v>91.149340905988069</v>
      </c>
      <c r="E22" s="142" t="s">
        <v>245</v>
      </c>
    </row>
  </sheetData>
  <mergeCells count="1"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Ecuaciones</vt:lpstr>
      <vt:lpstr>Precipitaciones máximas</vt:lpstr>
      <vt:lpstr>Kolmogorov-Diagrama Cajas</vt:lpstr>
      <vt:lpstr>Cálculos - Distintas Ecuaciones</vt:lpstr>
      <vt:lpstr>Cunetas</vt:lpstr>
      <vt:lpstr>Alcantarillas</vt:lpstr>
      <vt:lpstr>Alcantarilla clasificadas</vt:lpstr>
      <vt:lpstr>Hietograma</vt:lpstr>
      <vt:lpstr>Para HMS</vt:lpstr>
      <vt:lpstr>Para HEC RAS</vt:lpstr>
      <vt:lpstr>Socavación</vt:lpstr>
      <vt:lpstr>Cantidades de Obra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Adriana</cp:lastModifiedBy>
  <dcterms:created xsi:type="dcterms:W3CDTF">2014-10-01T12:52:50Z</dcterms:created>
  <dcterms:modified xsi:type="dcterms:W3CDTF">2016-03-18T05:08:29Z</dcterms:modified>
</cp:coreProperties>
</file>